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nhicks/Desktop/"/>
    </mc:Choice>
  </mc:AlternateContent>
  <xr:revisionPtr revIDLastSave="0" documentId="13_ncr:1_{46E712EE-D940-7746-879A-63E28BA10D70}" xr6:coauthVersionLast="47" xr6:coauthVersionMax="47" xr10:uidLastSave="{00000000-0000-0000-0000-000000000000}"/>
  <workbookProtection workbookAlgorithmName="SHA-512" workbookHashValue="BJI0pYsMaeEAQPl6psd3DZMXQEEnAUPDgzRvGbbpnyC+UCQymJJQcFx9qUZdgZFDD0dSIAhmYxBLJD3JLNHWOQ==" workbookSaltValue="FiIbompn4Bsls8OhPu4j/g==" workbookSpinCount="100000" lockStructure="1"/>
  <bookViews>
    <workbookView xWindow="6580" yWindow="740" windowWidth="42360" windowHeight="26780" activeTab="1" xr2:uid="{00000000-000D-0000-FFFF-FFFF00000000}"/>
  </bookViews>
  <sheets>
    <sheet name="Total Banner" sheetId="9" r:id="rId1"/>
    <sheet name="Wave to Wave" sheetId="7" r:id="rId2"/>
  </sheets>
  <definedNames>
    <definedName name="LQ.1" localSheetId="0">'Total Banner'!$A$8:$DF$17</definedName>
    <definedName name="LQ.1" localSheetId="1">'Wave to Wave'!$A$8:$EH$17</definedName>
    <definedName name="LQ.1">#REF!</definedName>
    <definedName name="LQ.10a" localSheetId="0">'Total Banner'!$A$140:$DF$150</definedName>
    <definedName name="LQ.10a" localSheetId="1">'Wave to Wave'!#REF!</definedName>
    <definedName name="LQ.10a">#REF!</definedName>
    <definedName name="LQ.11" localSheetId="0">'Total Banner'!$A$153:$DF$165</definedName>
    <definedName name="LQ.11" localSheetId="1">'Wave to Wave'!$A$122:$EH$134</definedName>
    <definedName name="LQ.11">#REF!</definedName>
    <definedName name="LQ.12" localSheetId="0">'Total Banner'!$A$168:$DF$180</definedName>
    <definedName name="LQ.12" localSheetId="1">'Wave to Wave'!$A$137:$EH$149</definedName>
    <definedName name="LQ.12">#REF!</definedName>
    <definedName name="LQ.13" localSheetId="0">'Total Banner'!$A$183:$DF$195</definedName>
    <definedName name="LQ.13" localSheetId="1">'Wave to Wave'!$A$152:$EH$164</definedName>
    <definedName name="LQ.13">#REF!</definedName>
    <definedName name="LQ.14" localSheetId="0">'Total Banner'!$A$198:$DF$210</definedName>
    <definedName name="LQ.14" localSheetId="1">'Wave to Wave'!$A$167:$EH$179</definedName>
    <definedName name="LQ.14">#REF!</definedName>
    <definedName name="LQ.15" localSheetId="0">'Total Banner'!$A$213:$DF$225</definedName>
    <definedName name="LQ.15" localSheetId="1">'Wave to Wave'!$A$182:$EH$194</definedName>
    <definedName name="LQ.15">#REF!</definedName>
    <definedName name="LQ.16" localSheetId="0">'Total Banner'!$A$228:$DF$240</definedName>
    <definedName name="LQ.16" localSheetId="1">'Wave to Wave'!$A$197:$EH$209</definedName>
    <definedName name="LQ.16">#REF!</definedName>
    <definedName name="LQ.17" localSheetId="0">'Total Banner'!$A$243:$DF$255</definedName>
    <definedName name="LQ.17" localSheetId="1">'Wave to Wave'!$A$212:$EH$223</definedName>
    <definedName name="LQ.17">#REF!</definedName>
    <definedName name="LQ.2" localSheetId="0">'Total Banner'!$A$20:$DF$30</definedName>
    <definedName name="LQ.2" localSheetId="1">'Wave to Wave'!$A$20:$EH$30</definedName>
    <definedName name="LQ.2">#REF!</definedName>
    <definedName name="LQ.3" localSheetId="0">'Total Banner'!$A$33:$DF$44</definedName>
    <definedName name="LQ.3" localSheetId="1">'Wave to Wave'!$A$33:$EH$44</definedName>
    <definedName name="LQ.3">#REF!</definedName>
    <definedName name="LQ.4" localSheetId="0">'Total Banner'!$A$47:$DF$57</definedName>
    <definedName name="LQ.4" localSheetId="1">'Wave to Wave'!$A$47:$EH$57</definedName>
    <definedName name="LQ.4">#REF!</definedName>
    <definedName name="LQ.5" localSheetId="0">'Total Banner'!$A$60:$DF$70</definedName>
    <definedName name="LQ.5" localSheetId="1">'Wave to Wave'!$A$60:$EH$70</definedName>
    <definedName name="LQ.5">#REF!</definedName>
    <definedName name="LQ.6" localSheetId="0">'Total Banner'!$A$73:$DF$85</definedName>
    <definedName name="LQ.6" localSheetId="1">'Wave to Wave'!$A$73:$EH$84</definedName>
    <definedName name="LQ.6">#REF!</definedName>
    <definedName name="LQ.7a" localSheetId="0">'Total Banner'!$A$88:$DF$100</definedName>
    <definedName name="LQ.7a" localSheetId="1">'Wave to Wave'!#REF!</definedName>
    <definedName name="LQ.7a">#REF!</definedName>
    <definedName name="LQ.8" localSheetId="0">'Total Banner'!$A$103:$DF$121</definedName>
    <definedName name="LQ.8" localSheetId="1">'Wave to Wave'!$A$88:$EH$106</definedName>
    <definedName name="LQ.8">#REF!</definedName>
    <definedName name="LQ.9" localSheetId="0">'Total Banner'!$A$124:$DF$137</definedName>
    <definedName name="LQ.9" localSheetId="1">'Wave to Wave'!$A$109:$EH$119</definedName>
    <definedName name="LQ.9">#REF!</definedName>
    <definedName name="_xlnm.Print_Area" localSheetId="0">'Total Banner'!$A$1:$DF$256</definedName>
    <definedName name="_xlnm.Print_Area" localSheetId="1">'Wave to Wave'!$A$1:$EH$225</definedName>
    <definedName name="_xlnm.Print_Titles" localSheetId="0">'Total Banner'!$A:$C,'Total Banner'!$1:$5</definedName>
    <definedName name="_xlnm.Print_Titles" localSheetId="1">'Wave to Wave'!$A:$C,'Wave to Wave'!$1:$5</definedName>
    <definedName name="Q.1" localSheetId="0">'Total Banner'!#REF!</definedName>
    <definedName name="Q.1" localSheetId="1">'Wave to Wave'!#REF!</definedName>
    <definedName name="Q.1">#REF!</definedName>
    <definedName name="Q.10" localSheetId="0">'Total Banner'!#REF!</definedName>
    <definedName name="Q.10" localSheetId="1">'Wave to Wave'!#REF!</definedName>
    <definedName name="Q.10">#REF!</definedName>
    <definedName name="Q.12" localSheetId="0">'Total Banner'!#REF!</definedName>
    <definedName name="Q.12" localSheetId="1">'Wave to Wave'!#REF!</definedName>
    <definedName name="Q.12">#REF!</definedName>
    <definedName name="Q.13" localSheetId="0">'Total Banner'!#REF!</definedName>
    <definedName name="Q.13" localSheetId="1">'Wave to Wave'!#REF!</definedName>
    <definedName name="Q.13">#REF!</definedName>
    <definedName name="Q.14" localSheetId="0">'Total Banner'!#REF!</definedName>
    <definedName name="Q.14" localSheetId="1">'Wave to Wave'!#REF!</definedName>
    <definedName name="Q.14">#REF!</definedName>
    <definedName name="Q.15" localSheetId="0">'Total Banner'!#REF!</definedName>
    <definedName name="Q.15" localSheetId="1">'Wave to Wave'!#REF!</definedName>
    <definedName name="Q.15">#REF!</definedName>
    <definedName name="Q.2" localSheetId="0">'Total Banner'!#REF!</definedName>
    <definedName name="Q.2" localSheetId="1">'Wave to Wave'!#REF!</definedName>
    <definedName name="Q.2">#REF!</definedName>
    <definedName name="Q.3" localSheetId="0">'Total Banner'!#REF!</definedName>
    <definedName name="Q.3" localSheetId="1">'Wave to Wave'!#REF!</definedName>
    <definedName name="Q.3">#REF!</definedName>
    <definedName name="Q.4" localSheetId="0">'Total Banner'!#REF!</definedName>
    <definedName name="Q.4" localSheetId="1">'Wave to Wave'!#REF!</definedName>
    <definedName name="Q.4">#REF!</definedName>
    <definedName name="Q.5" localSheetId="0">'Total Banner'!#REF!</definedName>
    <definedName name="Q.5" localSheetId="1">'Wave to Wave'!#REF!</definedName>
    <definedName name="Q.5">#REF!</definedName>
    <definedName name="Q.6" localSheetId="0">'Total Banner'!#REF!</definedName>
    <definedName name="Q.6" localSheetId="1">'Wave to Wave'!#REF!</definedName>
    <definedName name="Q.6">#REF!</definedName>
    <definedName name="Q.7" localSheetId="0">'Total Banner'!#REF!</definedName>
    <definedName name="Q.7" localSheetId="1">'Wave to Wave'!#REF!</definedName>
    <definedName name="Q.7">#REF!</definedName>
    <definedName name="Q.8" localSheetId="0">'Total Banner'!#REF!</definedName>
    <definedName name="Q.8" localSheetId="1">'Wave to Wave'!#REF!</definedName>
    <definedName name="Q.8">#REF!</definedName>
    <definedName name="Q.9_11" localSheetId="0">'Total Banner'!#REF!</definedName>
    <definedName name="Q.9_11" localSheetId="1">'Wave to Wave'!#REF!</definedName>
    <definedName name="Q.9_1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F243" i="9" l="1"/>
  <c r="DD243" i="9"/>
  <c r="DB243" i="9"/>
  <c r="CV243" i="9"/>
  <c r="CT243" i="9"/>
  <c r="CR243" i="9"/>
  <c r="CP243" i="9"/>
  <c r="CN243" i="9"/>
  <c r="CL243" i="9"/>
  <c r="BV243" i="9"/>
  <c r="BT243" i="9"/>
  <c r="BR243" i="9"/>
  <c r="BP243" i="9"/>
  <c r="BN243" i="9"/>
  <c r="BL243" i="9"/>
  <c r="BJ243" i="9"/>
  <c r="BH243" i="9"/>
  <c r="BF243" i="9"/>
  <c r="BD243" i="9"/>
  <c r="AL243" i="9"/>
  <c r="AJ243" i="9"/>
  <c r="Z243" i="9"/>
  <c r="X243" i="9"/>
  <c r="V243" i="9"/>
  <c r="T243" i="9"/>
  <c r="R243" i="9"/>
  <c r="P243" i="9"/>
  <c r="J243" i="9"/>
  <c r="H243" i="9"/>
  <c r="F243" i="9"/>
  <c r="D243" i="9"/>
  <c r="AH243" i="9"/>
  <c r="AF243" i="9"/>
  <c r="AD243" i="9"/>
  <c r="AB243" i="9"/>
  <c r="C243" i="9"/>
  <c r="DF228" i="9"/>
  <c r="DD228" i="9"/>
  <c r="DB228" i="9"/>
  <c r="CV228" i="9"/>
  <c r="CT228" i="9"/>
  <c r="CR228" i="9"/>
  <c r="CP228" i="9"/>
  <c r="CN228" i="9"/>
  <c r="CL228" i="9"/>
  <c r="BV228" i="9"/>
  <c r="BT228" i="9"/>
  <c r="BR228" i="9"/>
  <c r="BP228" i="9"/>
  <c r="BN228" i="9"/>
  <c r="BL228" i="9"/>
  <c r="BJ228" i="9"/>
  <c r="BH228" i="9"/>
  <c r="BF228" i="9"/>
  <c r="BD228" i="9"/>
  <c r="AL228" i="9"/>
  <c r="AJ228" i="9"/>
  <c r="Z228" i="9"/>
  <c r="X228" i="9"/>
  <c r="V228" i="9"/>
  <c r="T228" i="9"/>
  <c r="R228" i="9"/>
  <c r="P228" i="9"/>
  <c r="J228" i="9"/>
  <c r="H228" i="9"/>
  <c r="F228" i="9"/>
  <c r="D228" i="9"/>
  <c r="AH228" i="9"/>
  <c r="AF228" i="9"/>
  <c r="AD228" i="9"/>
  <c r="AB228" i="9"/>
  <c r="C228" i="9"/>
  <c r="DF213" i="9"/>
  <c r="DD213" i="9"/>
  <c r="DB213" i="9"/>
  <c r="CV213" i="9"/>
  <c r="CT213" i="9"/>
  <c r="CR213" i="9"/>
  <c r="CP213" i="9"/>
  <c r="CN213" i="9"/>
  <c r="CL213" i="9"/>
  <c r="BV213" i="9"/>
  <c r="BT213" i="9"/>
  <c r="BR213" i="9"/>
  <c r="BP213" i="9"/>
  <c r="BN213" i="9"/>
  <c r="BL213" i="9"/>
  <c r="BJ213" i="9"/>
  <c r="BH213" i="9"/>
  <c r="BF213" i="9"/>
  <c r="BD213" i="9"/>
  <c r="AL213" i="9"/>
  <c r="AJ213" i="9"/>
  <c r="Z213" i="9"/>
  <c r="X213" i="9"/>
  <c r="V213" i="9"/>
  <c r="T213" i="9"/>
  <c r="R213" i="9"/>
  <c r="P213" i="9"/>
  <c r="J213" i="9"/>
  <c r="H213" i="9"/>
  <c r="F213" i="9"/>
  <c r="D213" i="9"/>
  <c r="AH213" i="9"/>
  <c r="AF213" i="9"/>
  <c r="AD213" i="9"/>
  <c r="AB213" i="9"/>
  <c r="C213" i="9"/>
  <c r="DF198" i="9"/>
  <c r="DD198" i="9"/>
  <c r="DB198" i="9"/>
  <c r="CV198" i="9"/>
  <c r="CT198" i="9"/>
  <c r="CR198" i="9"/>
  <c r="CP198" i="9"/>
  <c r="CN198" i="9"/>
  <c r="CL198" i="9"/>
  <c r="BV198" i="9"/>
  <c r="BT198" i="9"/>
  <c r="BR198" i="9"/>
  <c r="BP198" i="9"/>
  <c r="BN198" i="9"/>
  <c r="BL198" i="9"/>
  <c r="BJ198" i="9"/>
  <c r="BH198" i="9"/>
  <c r="BF198" i="9"/>
  <c r="BD198" i="9"/>
  <c r="AL198" i="9"/>
  <c r="AJ198" i="9"/>
  <c r="Z198" i="9"/>
  <c r="X198" i="9"/>
  <c r="V198" i="9"/>
  <c r="T198" i="9"/>
  <c r="R198" i="9"/>
  <c r="P198" i="9"/>
  <c r="J198" i="9"/>
  <c r="H198" i="9"/>
  <c r="F198" i="9"/>
  <c r="D198" i="9"/>
  <c r="AH198" i="9"/>
  <c r="AF198" i="9"/>
  <c r="AD198" i="9"/>
  <c r="AB198" i="9"/>
  <c r="C198" i="9"/>
  <c r="DF183" i="9"/>
  <c r="DD183" i="9"/>
  <c r="DB183" i="9"/>
  <c r="CV183" i="9"/>
  <c r="CT183" i="9"/>
  <c r="CR183" i="9"/>
  <c r="CP183" i="9"/>
  <c r="CN183" i="9"/>
  <c r="CL183" i="9"/>
  <c r="BV183" i="9"/>
  <c r="BT183" i="9"/>
  <c r="BR183" i="9"/>
  <c r="BP183" i="9"/>
  <c r="BN183" i="9"/>
  <c r="BL183" i="9"/>
  <c r="BJ183" i="9"/>
  <c r="BH183" i="9"/>
  <c r="BF183" i="9"/>
  <c r="BD183" i="9"/>
  <c r="AL183" i="9"/>
  <c r="AJ183" i="9"/>
  <c r="Z183" i="9"/>
  <c r="X183" i="9"/>
  <c r="V183" i="9"/>
  <c r="T183" i="9"/>
  <c r="R183" i="9"/>
  <c r="P183" i="9"/>
  <c r="J183" i="9"/>
  <c r="H183" i="9"/>
  <c r="F183" i="9"/>
  <c r="D183" i="9"/>
  <c r="AH183" i="9"/>
  <c r="AF183" i="9"/>
  <c r="AD183" i="9"/>
  <c r="AB183" i="9"/>
  <c r="C183" i="9"/>
  <c r="DF168" i="9"/>
  <c r="DD168" i="9"/>
  <c r="DB168" i="9"/>
  <c r="CV168" i="9"/>
  <c r="CT168" i="9"/>
  <c r="CR168" i="9"/>
  <c r="CP168" i="9"/>
  <c r="CN168" i="9"/>
  <c r="CL168" i="9"/>
  <c r="BV168" i="9"/>
  <c r="BT168" i="9"/>
  <c r="BR168" i="9"/>
  <c r="BP168" i="9"/>
  <c r="BN168" i="9"/>
  <c r="BL168" i="9"/>
  <c r="BJ168" i="9"/>
  <c r="BH168" i="9"/>
  <c r="BF168" i="9"/>
  <c r="BD168" i="9"/>
  <c r="AL168" i="9"/>
  <c r="AJ168" i="9"/>
  <c r="Z168" i="9"/>
  <c r="X168" i="9"/>
  <c r="V168" i="9"/>
  <c r="T168" i="9"/>
  <c r="R168" i="9"/>
  <c r="P168" i="9"/>
  <c r="J168" i="9"/>
  <c r="H168" i="9"/>
  <c r="F168" i="9"/>
  <c r="D168" i="9"/>
  <c r="AH168" i="9"/>
  <c r="AF168" i="9"/>
  <c r="AD168" i="9"/>
  <c r="AB168" i="9"/>
  <c r="C168" i="9"/>
  <c r="DF153" i="9"/>
  <c r="DD153" i="9"/>
  <c r="DB153" i="9"/>
  <c r="CV153" i="9"/>
  <c r="CT153" i="9"/>
  <c r="CR153" i="9"/>
  <c r="CP153" i="9"/>
  <c r="CN153" i="9"/>
  <c r="CL153" i="9"/>
  <c r="BV153" i="9"/>
  <c r="BT153" i="9"/>
  <c r="BR153" i="9"/>
  <c r="BP153" i="9"/>
  <c r="BN153" i="9"/>
  <c r="BL153" i="9"/>
  <c r="BJ153" i="9"/>
  <c r="BH153" i="9"/>
  <c r="BF153" i="9"/>
  <c r="BD153" i="9"/>
  <c r="AL153" i="9"/>
  <c r="AJ153" i="9"/>
  <c r="Z153" i="9"/>
  <c r="X153" i="9"/>
  <c r="V153" i="9"/>
  <c r="T153" i="9"/>
  <c r="R153" i="9"/>
  <c r="P153" i="9"/>
  <c r="J153" i="9"/>
  <c r="H153" i="9"/>
  <c r="F153" i="9"/>
  <c r="D153" i="9"/>
  <c r="AH153" i="9"/>
  <c r="AF153" i="9"/>
  <c r="AD153" i="9"/>
  <c r="AB153" i="9"/>
  <c r="C153" i="9"/>
  <c r="DF140" i="9"/>
  <c r="DD140" i="9"/>
  <c r="DB140" i="9"/>
  <c r="CV140" i="9"/>
  <c r="CT140" i="9"/>
  <c r="CR140" i="9"/>
  <c r="CP140" i="9"/>
  <c r="CN140" i="9"/>
  <c r="CL140" i="9"/>
  <c r="BV140" i="9"/>
  <c r="BT140" i="9"/>
  <c r="BR140" i="9"/>
  <c r="BP140" i="9"/>
  <c r="BN140" i="9"/>
  <c r="BL140" i="9"/>
  <c r="BJ140" i="9"/>
  <c r="BH140" i="9"/>
  <c r="BF140" i="9"/>
  <c r="BD140" i="9"/>
  <c r="AL140" i="9"/>
  <c r="AJ140" i="9"/>
  <c r="Z140" i="9"/>
  <c r="X140" i="9"/>
  <c r="V140" i="9"/>
  <c r="T140" i="9"/>
  <c r="R140" i="9"/>
  <c r="P140" i="9"/>
  <c r="J140" i="9"/>
  <c r="H140" i="9"/>
  <c r="F140" i="9"/>
  <c r="D140" i="9"/>
  <c r="AH140" i="9"/>
  <c r="AF140" i="9"/>
  <c r="AD140" i="9"/>
  <c r="AB140" i="9"/>
  <c r="C140" i="9"/>
  <c r="DF124" i="9"/>
  <c r="DD124" i="9"/>
  <c r="DB124" i="9"/>
  <c r="CV124" i="9"/>
  <c r="CT124" i="9"/>
  <c r="CR124" i="9"/>
  <c r="CP124" i="9"/>
  <c r="CN124" i="9"/>
  <c r="CL124" i="9"/>
  <c r="BV124" i="9"/>
  <c r="BT124" i="9"/>
  <c r="BR124" i="9"/>
  <c r="BP124" i="9"/>
  <c r="BN124" i="9"/>
  <c r="BL124" i="9"/>
  <c r="BJ124" i="9"/>
  <c r="BH124" i="9"/>
  <c r="BF124" i="9"/>
  <c r="BD124" i="9"/>
  <c r="AL124" i="9"/>
  <c r="AJ124" i="9"/>
  <c r="Z124" i="9"/>
  <c r="X124" i="9"/>
  <c r="V124" i="9"/>
  <c r="T124" i="9"/>
  <c r="R124" i="9"/>
  <c r="P124" i="9"/>
  <c r="J124" i="9"/>
  <c r="H124" i="9"/>
  <c r="F124" i="9"/>
  <c r="D124" i="9"/>
  <c r="AH124" i="9"/>
  <c r="AF124" i="9"/>
  <c r="AD124" i="9"/>
  <c r="AB124" i="9"/>
  <c r="C124" i="9"/>
  <c r="DF103" i="9"/>
  <c r="DD103" i="9"/>
  <c r="DB103" i="9"/>
  <c r="CV103" i="9"/>
  <c r="CT103" i="9"/>
  <c r="CR103" i="9"/>
  <c r="CP103" i="9"/>
  <c r="CN103" i="9"/>
  <c r="CL103" i="9"/>
  <c r="BV103" i="9"/>
  <c r="BT103" i="9"/>
  <c r="BR103" i="9"/>
  <c r="BP103" i="9"/>
  <c r="BN103" i="9"/>
  <c r="BL103" i="9"/>
  <c r="BJ103" i="9"/>
  <c r="BH103" i="9"/>
  <c r="BF103" i="9"/>
  <c r="BD103" i="9"/>
  <c r="AL103" i="9"/>
  <c r="AJ103" i="9"/>
  <c r="Z103" i="9"/>
  <c r="X103" i="9"/>
  <c r="V103" i="9"/>
  <c r="T103" i="9"/>
  <c r="R103" i="9"/>
  <c r="P103" i="9"/>
  <c r="J103" i="9"/>
  <c r="H103" i="9"/>
  <c r="F103" i="9"/>
  <c r="D103" i="9"/>
  <c r="AH103" i="9"/>
  <c r="AF103" i="9"/>
  <c r="AD103" i="9"/>
  <c r="AB103" i="9"/>
  <c r="C103" i="9"/>
  <c r="DF88" i="9"/>
  <c r="DD88" i="9"/>
  <c r="DB88" i="9"/>
  <c r="CV88" i="9"/>
  <c r="CT88" i="9"/>
  <c r="CR88" i="9"/>
  <c r="CP88" i="9"/>
  <c r="CN88" i="9"/>
  <c r="CL88" i="9"/>
  <c r="BV88" i="9"/>
  <c r="BT88" i="9"/>
  <c r="BR88" i="9"/>
  <c r="BP88" i="9"/>
  <c r="BN88" i="9"/>
  <c r="BL88" i="9"/>
  <c r="BJ88" i="9"/>
  <c r="BH88" i="9"/>
  <c r="BF88" i="9"/>
  <c r="BD88" i="9"/>
  <c r="AL88" i="9"/>
  <c r="AJ88" i="9"/>
  <c r="Z88" i="9"/>
  <c r="X88" i="9"/>
  <c r="V88" i="9"/>
  <c r="T88" i="9"/>
  <c r="R88" i="9"/>
  <c r="P88" i="9"/>
  <c r="J88" i="9"/>
  <c r="H88" i="9"/>
  <c r="F88" i="9"/>
  <c r="D88" i="9"/>
  <c r="AH88" i="9"/>
  <c r="AF88" i="9"/>
  <c r="AD88" i="9"/>
  <c r="AB88" i="9"/>
  <c r="C88" i="9"/>
  <c r="DF73" i="9"/>
  <c r="DD73" i="9"/>
  <c r="DB73" i="9"/>
  <c r="CV73" i="9"/>
  <c r="CT73" i="9"/>
  <c r="CR73" i="9"/>
  <c r="CP73" i="9"/>
  <c r="CN73" i="9"/>
  <c r="CL73" i="9"/>
  <c r="BV73" i="9"/>
  <c r="BT73" i="9"/>
  <c r="BR73" i="9"/>
  <c r="BP73" i="9"/>
  <c r="BN73" i="9"/>
  <c r="BL73" i="9"/>
  <c r="BJ73" i="9"/>
  <c r="BH73" i="9"/>
  <c r="BF73" i="9"/>
  <c r="BD73" i="9"/>
  <c r="AL73" i="9"/>
  <c r="AJ73" i="9"/>
  <c r="Z73" i="9"/>
  <c r="X73" i="9"/>
  <c r="V73" i="9"/>
  <c r="T73" i="9"/>
  <c r="R73" i="9"/>
  <c r="P73" i="9"/>
  <c r="J73" i="9"/>
  <c r="H73" i="9"/>
  <c r="F73" i="9"/>
  <c r="D73" i="9"/>
  <c r="AH73" i="9"/>
  <c r="AF73" i="9"/>
  <c r="AD73" i="9"/>
  <c r="AB73" i="9"/>
  <c r="C73" i="9"/>
  <c r="DF60" i="9"/>
  <c r="DD60" i="9"/>
  <c r="DB60" i="9"/>
  <c r="CV60" i="9"/>
  <c r="CT60" i="9"/>
  <c r="CR60" i="9"/>
  <c r="CP60" i="9"/>
  <c r="CN60" i="9"/>
  <c r="CL60" i="9"/>
  <c r="BV60" i="9"/>
  <c r="BT60" i="9"/>
  <c r="BR60" i="9"/>
  <c r="BP60" i="9"/>
  <c r="BN60" i="9"/>
  <c r="BL60" i="9"/>
  <c r="BJ60" i="9"/>
  <c r="BH60" i="9"/>
  <c r="BF60" i="9"/>
  <c r="BD60" i="9"/>
  <c r="AL60" i="9"/>
  <c r="AJ60" i="9"/>
  <c r="Z60" i="9"/>
  <c r="X60" i="9"/>
  <c r="V60" i="9"/>
  <c r="T60" i="9"/>
  <c r="R60" i="9"/>
  <c r="P60" i="9"/>
  <c r="J60" i="9"/>
  <c r="H60" i="9"/>
  <c r="F60" i="9"/>
  <c r="D60" i="9"/>
  <c r="AH60" i="9"/>
  <c r="AF60" i="9"/>
  <c r="AD60" i="9"/>
  <c r="AB60" i="9"/>
  <c r="C60" i="9"/>
  <c r="DF47" i="9"/>
  <c r="DD47" i="9"/>
  <c r="DB47" i="9"/>
  <c r="CV47" i="9"/>
  <c r="CT47" i="9"/>
  <c r="CR47" i="9"/>
  <c r="CP47" i="9"/>
  <c r="CN47" i="9"/>
  <c r="CL47" i="9"/>
  <c r="BV47" i="9"/>
  <c r="BT47" i="9"/>
  <c r="BR47" i="9"/>
  <c r="BP47" i="9"/>
  <c r="BN47" i="9"/>
  <c r="BL47" i="9"/>
  <c r="BJ47" i="9"/>
  <c r="BH47" i="9"/>
  <c r="BF47" i="9"/>
  <c r="BD47" i="9"/>
  <c r="AL47" i="9"/>
  <c r="AJ47" i="9"/>
  <c r="Z47" i="9"/>
  <c r="X47" i="9"/>
  <c r="V47" i="9"/>
  <c r="T47" i="9"/>
  <c r="R47" i="9"/>
  <c r="P47" i="9"/>
  <c r="J47" i="9"/>
  <c r="H47" i="9"/>
  <c r="F47" i="9"/>
  <c r="D47" i="9"/>
  <c r="AH47" i="9"/>
  <c r="AF47" i="9"/>
  <c r="AD47" i="9"/>
  <c r="AB47" i="9"/>
  <c r="C47" i="9"/>
  <c r="DF33" i="9"/>
  <c r="DD33" i="9"/>
  <c r="DB33" i="9"/>
  <c r="CV33" i="9"/>
  <c r="CT33" i="9"/>
  <c r="CR33" i="9"/>
  <c r="CP33" i="9"/>
  <c r="CN33" i="9"/>
  <c r="CL33" i="9"/>
  <c r="BV33" i="9"/>
  <c r="BT33" i="9"/>
  <c r="BR33" i="9"/>
  <c r="BP33" i="9"/>
  <c r="BN33" i="9"/>
  <c r="BL33" i="9"/>
  <c r="BJ33" i="9"/>
  <c r="BH33" i="9"/>
  <c r="BF33" i="9"/>
  <c r="BD33" i="9"/>
  <c r="AL33" i="9"/>
  <c r="AJ33" i="9"/>
  <c r="Z33" i="9"/>
  <c r="X33" i="9"/>
  <c r="V33" i="9"/>
  <c r="T33" i="9"/>
  <c r="R33" i="9"/>
  <c r="P33" i="9"/>
  <c r="J33" i="9"/>
  <c r="H33" i="9"/>
  <c r="F33" i="9"/>
  <c r="D33" i="9"/>
  <c r="AH33" i="9"/>
  <c r="AF33" i="9"/>
  <c r="AD33" i="9"/>
  <c r="AB33" i="9"/>
  <c r="C33" i="9"/>
  <c r="DF20" i="9"/>
  <c r="DD20" i="9"/>
  <c r="DB20" i="9"/>
  <c r="CV20" i="9"/>
  <c r="CT20" i="9"/>
  <c r="CR20" i="9"/>
  <c r="CP20" i="9"/>
  <c r="CN20" i="9"/>
  <c r="CL20" i="9"/>
  <c r="BV20" i="9"/>
  <c r="BT20" i="9"/>
  <c r="BR20" i="9"/>
  <c r="BP20" i="9"/>
  <c r="BN20" i="9"/>
  <c r="BL20" i="9"/>
  <c r="BJ20" i="9"/>
  <c r="BH20" i="9"/>
  <c r="BF20" i="9"/>
  <c r="BD20" i="9"/>
  <c r="AL20" i="9"/>
  <c r="AJ20" i="9"/>
  <c r="Z20" i="9"/>
  <c r="X20" i="9"/>
  <c r="V20" i="9"/>
  <c r="T20" i="9"/>
  <c r="R20" i="9"/>
  <c r="P20" i="9"/>
  <c r="J20" i="9"/>
  <c r="H20" i="9"/>
  <c r="F20" i="9"/>
  <c r="D20" i="9"/>
  <c r="AH20" i="9"/>
  <c r="AF20" i="9"/>
  <c r="AD20" i="9"/>
  <c r="AB20" i="9"/>
  <c r="C20" i="9"/>
  <c r="DF8" i="9"/>
  <c r="DD8" i="9"/>
  <c r="DB8" i="9"/>
  <c r="CV8" i="9"/>
  <c r="CT8" i="9"/>
  <c r="CR8" i="9"/>
  <c r="CP8" i="9"/>
  <c r="CN8" i="9"/>
  <c r="CL8" i="9"/>
  <c r="BV8" i="9"/>
  <c r="BT8" i="9"/>
  <c r="BR8" i="9"/>
  <c r="BP8" i="9"/>
  <c r="BN8" i="9"/>
  <c r="BL8" i="9"/>
  <c r="BJ8" i="9"/>
  <c r="BH8" i="9"/>
  <c r="BF8" i="9"/>
  <c r="BD8" i="9"/>
  <c r="AL8" i="9"/>
  <c r="AJ8" i="9"/>
  <c r="Z8" i="9"/>
  <c r="X8" i="9"/>
  <c r="V8" i="9"/>
  <c r="T8" i="9"/>
  <c r="R8" i="9"/>
  <c r="P8" i="9"/>
  <c r="J8" i="9"/>
  <c r="H8" i="9"/>
  <c r="F8" i="9"/>
  <c r="D8" i="9"/>
  <c r="AH8" i="9"/>
  <c r="AF8" i="9"/>
  <c r="AD8" i="9"/>
  <c r="AB8" i="9"/>
  <c r="C8" i="9"/>
  <c r="EH212" i="7" l="1"/>
  <c r="EF212" i="7"/>
  <c r="ED212" i="7"/>
  <c r="EB212" i="7"/>
  <c r="DZ212" i="7"/>
  <c r="DX212" i="7"/>
  <c r="DV212" i="7"/>
  <c r="DT212" i="7"/>
  <c r="DR212" i="7"/>
  <c r="DP212" i="7"/>
  <c r="DN212" i="7"/>
  <c r="DL212" i="7"/>
  <c r="DJ212" i="7"/>
  <c r="DH212" i="7"/>
  <c r="DF212" i="7"/>
  <c r="DD212" i="7"/>
  <c r="DB212" i="7"/>
  <c r="CZ212" i="7"/>
  <c r="CX212" i="7"/>
  <c r="CV212" i="7"/>
  <c r="CT212" i="7"/>
  <c r="CR212" i="7"/>
  <c r="CP212" i="7"/>
  <c r="CN212" i="7"/>
  <c r="CL212" i="7"/>
  <c r="CJ212" i="7"/>
  <c r="CH212" i="7"/>
  <c r="CF212" i="7"/>
  <c r="CD212" i="7"/>
  <c r="CB212" i="7"/>
  <c r="BZ212" i="7"/>
  <c r="BX212" i="7"/>
  <c r="BV212" i="7"/>
  <c r="BT212" i="7"/>
  <c r="BR212" i="7"/>
  <c r="BP212" i="7"/>
  <c r="BN212" i="7"/>
  <c r="BL212" i="7"/>
  <c r="AT212" i="7"/>
  <c r="AR212" i="7"/>
  <c r="AP212" i="7"/>
  <c r="AN212" i="7"/>
  <c r="AL212" i="7"/>
  <c r="AJ212" i="7"/>
  <c r="AH212" i="7"/>
  <c r="AF212" i="7"/>
  <c r="AD212" i="7"/>
  <c r="AB212" i="7"/>
  <c r="Z212" i="7"/>
  <c r="X212" i="7"/>
  <c r="V212" i="7"/>
  <c r="T212" i="7"/>
  <c r="R212" i="7"/>
  <c r="P212" i="7"/>
  <c r="N212" i="7"/>
  <c r="L212" i="7"/>
  <c r="J212" i="7"/>
  <c r="H212" i="7"/>
  <c r="BJ212" i="7"/>
  <c r="BH212" i="7"/>
  <c r="BF212" i="7"/>
  <c r="BD212" i="7"/>
  <c r="BB212" i="7"/>
  <c r="AZ212" i="7"/>
  <c r="AX212" i="7"/>
  <c r="AV212" i="7"/>
  <c r="F212" i="7"/>
  <c r="D212" i="7"/>
  <c r="C212" i="7"/>
  <c r="EH197" i="7"/>
  <c r="EF197" i="7"/>
  <c r="ED197" i="7"/>
  <c r="EB197" i="7"/>
  <c r="DZ197" i="7"/>
  <c r="DX197" i="7"/>
  <c r="DV197" i="7"/>
  <c r="DT197" i="7"/>
  <c r="DR197" i="7"/>
  <c r="DP197" i="7"/>
  <c r="DN197" i="7"/>
  <c r="DL197" i="7"/>
  <c r="DJ197" i="7"/>
  <c r="DH197" i="7"/>
  <c r="DF197" i="7"/>
  <c r="DD197" i="7"/>
  <c r="DB197" i="7"/>
  <c r="CZ197" i="7"/>
  <c r="CX197" i="7"/>
  <c r="CV197" i="7"/>
  <c r="CT197" i="7"/>
  <c r="CR197" i="7"/>
  <c r="CP197" i="7"/>
  <c r="CN197" i="7"/>
  <c r="CL197" i="7"/>
  <c r="CJ197" i="7"/>
  <c r="CH197" i="7"/>
  <c r="CF197" i="7"/>
  <c r="CD197" i="7"/>
  <c r="CB197" i="7"/>
  <c r="BZ197" i="7"/>
  <c r="BX197" i="7"/>
  <c r="BV197" i="7"/>
  <c r="BT197" i="7"/>
  <c r="BR197" i="7"/>
  <c r="BP197" i="7"/>
  <c r="BN197" i="7"/>
  <c r="BL197" i="7"/>
  <c r="AT197" i="7"/>
  <c r="AR197" i="7"/>
  <c r="AP197" i="7"/>
  <c r="AN197" i="7"/>
  <c r="AL197" i="7"/>
  <c r="AJ197" i="7"/>
  <c r="AH197" i="7"/>
  <c r="AF197" i="7"/>
  <c r="AD197" i="7"/>
  <c r="AB197" i="7"/>
  <c r="Z197" i="7"/>
  <c r="X197" i="7"/>
  <c r="V197" i="7"/>
  <c r="T197" i="7"/>
  <c r="R197" i="7"/>
  <c r="P197" i="7"/>
  <c r="N197" i="7"/>
  <c r="L197" i="7"/>
  <c r="J197" i="7"/>
  <c r="H197" i="7"/>
  <c r="BJ197" i="7"/>
  <c r="BH197" i="7"/>
  <c r="BF197" i="7"/>
  <c r="BD197" i="7"/>
  <c r="BB197" i="7"/>
  <c r="AZ197" i="7"/>
  <c r="AX197" i="7"/>
  <c r="AV197" i="7"/>
  <c r="F197" i="7"/>
  <c r="D197" i="7"/>
  <c r="C197" i="7"/>
  <c r="EH182" i="7"/>
  <c r="EF182" i="7"/>
  <c r="ED182" i="7"/>
  <c r="EB182" i="7"/>
  <c r="DZ182" i="7"/>
  <c r="DX182" i="7"/>
  <c r="DV182" i="7"/>
  <c r="DT182" i="7"/>
  <c r="DR182" i="7"/>
  <c r="DP182" i="7"/>
  <c r="DN182" i="7"/>
  <c r="DL182" i="7"/>
  <c r="DJ182" i="7"/>
  <c r="DH182" i="7"/>
  <c r="DF182" i="7"/>
  <c r="DD182" i="7"/>
  <c r="DB182" i="7"/>
  <c r="CZ182" i="7"/>
  <c r="CX182" i="7"/>
  <c r="CV182" i="7"/>
  <c r="CT182" i="7"/>
  <c r="CR182" i="7"/>
  <c r="CP182" i="7"/>
  <c r="CN182" i="7"/>
  <c r="CL182" i="7"/>
  <c r="CJ182" i="7"/>
  <c r="CH182" i="7"/>
  <c r="CF182" i="7"/>
  <c r="CD182" i="7"/>
  <c r="CB182" i="7"/>
  <c r="BZ182" i="7"/>
  <c r="BX182" i="7"/>
  <c r="BV182" i="7"/>
  <c r="BT182" i="7"/>
  <c r="BR182" i="7"/>
  <c r="BP182" i="7"/>
  <c r="BN182" i="7"/>
  <c r="BL182" i="7"/>
  <c r="AT182" i="7"/>
  <c r="AR182" i="7"/>
  <c r="AP182" i="7"/>
  <c r="AN182" i="7"/>
  <c r="AL182" i="7"/>
  <c r="AJ182" i="7"/>
  <c r="AH182" i="7"/>
  <c r="AF182" i="7"/>
  <c r="AD182" i="7"/>
  <c r="AB182" i="7"/>
  <c r="Z182" i="7"/>
  <c r="X182" i="7"/>
  <c r="V182" i="7"/>
  <c r="T182" i="7"/>
  <c r="R182" i="7"/>
  <c r="P182" i="7"/>
  <c r="N182" i="7"/>
  <c r="L182" i="7"/>
  <c r="J182" i="7"/>
  <c r="H182" i="7"/>
  <c r="BJ182" i="7"/>
  <c r="BH182" i="7"/>
  <c r="BF182" i="7"/>
  <c r="BD182" i="7"/>
  <c r="BB182" i="7"/>
  <c r="AZ182" i="7"/>
  <c r="AX182" i="7"/>
  <c r="AV182" i="7"/>
  <c r="F182" i="7"/>
  <c r="D182" i="7"/>
  <c r="C182" i="7"/>
  <c r="EH167" i="7"/>
  <c r="EF167" i="7"/>
  <c r="ED167" i="7"/>
  <c r="EB167" i="7"/>
  <c r="DZ167" i="7"/>
  <c r="DX167" i="7"/>
  <c r="DV167" i="7"/>
  <c r="DT167" i="7"/>
  <c r="DR167" i="7"/>
  <c r="DP167" i="7"/>
  <c r="DN167" i="7"/>
  <c r="DL167" i="7"/>
  <c r="DJ167" i="7"/>
  <c r="DH167" i="7"/>
  <c r="DF167" i="7"/>
  <c r="DD167" i="7"/>
  <c r="DB167" i="7"/>
  <c r="CZ167" i="7"/>
  <c r="CX167" i="7"/>
  <c r="CV167" i="7"/>
  <c r="CT167" i="7"/>
  <c r="CR167" i="7"/>
  <c r="CP167" i="7"/>
  <c r="CN167" i="7"/>
  <c r="CL167" i="7"/>
  <c r="CJ167" i="7"/>
  <c r="CH167" i="7"/>
  <c r="CF167" i="7"/>
  <c r="CD167" i="7"/>
  <c r="CB167" i="7"/>
  <c r="BZ167" i="7"/>
  <c r="BX167" i="7"/>
  <c r="BV167" i="7"/>
  <c r="BT167" i="7"/>
  <c r="BR167" i="7"/>
  <c r="BP167" i="7"/>
  <c r="BN167" i="7"/>
  <c r="BL167" i="7"/>
  <c r="AT167" i="7"/>
  <c r="AR167" i="7"/>
  <c r="AP167" i="7"/>
  <c r="AN167" i="7"/>
  <c r="AL167" i="7"/>
  <c r="AJ167" i="7"/>
  <c r="AH167" i="7"/>
  <c r="AF167" i="7"/>
  <c r="AD167" i="7"/>
  <c r="AB167" i="7"/>
  <c r="Z167" i="7"/>
  <c r="X167" i="7"/>
  <c r="V167" i="7"/>
  <c r="T167" i="7"/>
  <c r="R167" i="7"/>
  <c r="P167" i="7"/>
  <c r="N167" i="7"/>
  <c r="L167" i="7"/>
  <c r="J167" i="7"/>
  <c r="H167" i="7"/>
  <c r="BJ167" i="7"/>
  <c r="BH167" i="7"/>
  <c r="BF167" i="7"/>
  <c r="BD167" i="7"/>
  <c r="BB167" i="7"/>
  <c r="AZ167" i="7"/>
  <c r="AX167" i="7"/>
  <c r="AV167" i="7"/>
  <c r="F167" i="7"/>
  <c r="D167" i="7"/>
  <c r="C167" i="7"/>
  <c r="EH152" i="7"/>
  <c r="EF152" i="7"/>
  <c r="ED152" i="7"/>
  <c r="EB152" i="7"/>
  <c r="DZ152" i="7"/>
  <c r="DX152" i="7"/>
  <c r="DV152" i="7"/>
  <c r="DT152" i="7"/>
  <c r="DR152" i="7"/>
  <c r="DP152" i="7"/>
  <c r="DN152" i="7"/>
  <c r="DL152" i="7"/>
  <c r="DJ152" i="7"/>
  <c r="DH152" i="7"/>
  <c r="DF152" i="7"/>
  <c r="DD152" i="7"/>
  <c r="DB152" i="7"/>
  <c r="CZ152" i="7"/>
  <c r="CX152" i="7"/>
  <c r="CV152" i="7"/>
  <c r="CT152" i="7"/>
  <c r="CR152" i="7"/>
  <c r="CP152" i="7"/>
  <c r="CN152" i="7"/>
  <c r="CL152" i="7"/>
  <c r="CJ152" i="7"/>
  <c r="CH152" i="7"/>
  <c r="CF152" i="7"/>
  <c r="CD152" i="7"/>
  <c r="CB152" i="7"/>
  <c r="BZ152" i="7"/>
  <c r="BX152" i="7"/>
  <c r="BV152" i="7"/>
  <c r="BT152" i="7"/>
  <c r="BR152" i="7"/>
  <c r="BP152" i="7"/>
  <c r="BN152" i="7"/>
  <c r="BL152" i="7"/>
  <c r="AT152" i="7"/>
  <c r="AR152" i="7"/>
  <c r="AP152" i="7"/>
  <c r="AN152" i="7"/>
  <c r="AL152" i="7"/>
  <c r="AJ152" i="7"/>
  <c r="AH152" i="7"/>
  <c r="AF152" i="7"/>
  <c r="AD152" i="7"/>
  <c r="AB152" i="7"/>
  <c r="Z152" i="7"/>
  <c r="X152" i="7"/>
  <c r="V152" i="7"/>
  <c r="T152" i="7"/>
  <c r="R152" i="7"/>
  <c r="P152" i="7"/>
  <c r="N152" i="7"/>
  <c r="L152" i="7"/>
  <c r="J152" i="7"/>
  <c r="H152" i="7"/>
  <c r="BJ152" i="7"/>
  <c r="BH152" i="7"/>
  <c r="BF152" i="7"/>
  <c r="BD152" i="7"/>
  <c r="BB152" i="7"/>
  <c r="AZ152" i="7"/>
  <c r="AX152" i="7"/>
  <c r="AV152" i="7"/>
  <c r="F152" i="7"/>
  <c r="D152" i="7"/>
  <c r="C152" i="7"/>
  <c r="EH137" i="7"/>
  <c r="EF137" i="7"/>
  <c r="ED137" i="7"/>
  <c r="EB137" i="7"/>
  <c r="DZ137" i="7"/>
  <c r="DX137" i="7"/>
  <c r="DV137" i="7"/>
  <c r="DT137" i="7"/>
  <c r="DR137" i="7"/>
  <c r="DP137" i="7"/>
  <c r="DN137" i="7"/>
  <c r="DL137" i="7"/>
  <c r="DJ137" i="7"/>
  <c r="DH137" i="7"/>
  <c r="DF137" i="7"/>
  <c r="DD137" i="7"/>
  <c r="DB137" i="7"/>
  <c r="CZ137" i="7"/>
  <c r="CX137" i="7"/>
  <c r="CV137" i="7"/>
  <c r="CT137" i="7"/>
  <c r="CR137" i="7"/>
  <c r="CP137" i="7"/>
  <c r="CN137" i="7"/>
  <c r="CL137" i="7"/>
  <c r="CJ137" i="7"/>
  <c r="CH137" i="7"/>
  <c r="CF137" i="7"/>
  <c r="CD137" i="7"/>
  <c r="CB137" i="7"/>
  <c r="BZ137" i="7"/>
  <c r="BX137" i="7"/>
  <c r="BV137" i="7"/>
  <c r="BT137" i="7"/>
  <c r="BR137" i="7"/>
  <c r="BP137" i="7"/>
  <c r="BN137" i="7"/>
  <c r="BL137" i="7"/>
  <c r="AT137" i="7"/>
  <c r="AR137" i="7"/>
  <c r="AP137" i="7"/>
  <c r="AN137" i="7"/>
  <c r="AL137" i="7"/>
  <c r="AJ137" i="7"/>
  <c r="AH137" i="7"/>
  <c r="AF137" i="7"/>
  <c r="AD137" i="7"/>
  <c r="AB137" i="7"/>
  <c r="Z137" i="7"/>
  <c r="X137" i="7"/>
  <c r="V137" i="7"/>
  <c r="T137" i="7"/>
  <c r="R137" i="7"/>
  <c r="P137" i="7"/>
  <c r="N137" i="7"/>
  <c r="L137" i="7"/>
  <c r="J137" i="7"/>
  <c r="H137" i="7"/>
  <c r="BJ137" i="7"/>
  <c r="BH137" i="7"/>
  <c r="BF137" i="7"/>
  <c r="BD137" i="7"/>
  <c r="BB137" i="7"/>
  <c r="AZ137" i="7"/>
  <c r="AX137" i="7"/>
  <c r="AV137" i="7"/>
  <c r="F137" i="7"/>
  <c r="D137" i="7"/>
  <c r="C137" i="7"/>
  <c r="EH122" i="7"/>
  <c r="EF122" i="7"/>
  <c r="ED122" i="7"/>
  <c r="EB122" i="7"/>
  <c r="DZ122" i="7"/>
  <c r="DX122" i="7"/>
  <c r="DV122" i="7"/>
  <c r="DT122" i="7"/>
  <c r="DR122" i="7"/>
  <c r="DP122" i="7"/>
  <c r="DN122" i="7"/>
  <c r="DL122" i="7"/>
  <c r="DJ122" i="7"/>
  <c r="DH122" i="7"/>
  <c r="DF122" i="7"/>
  <c r="DD122" i="7"/>
  <c r="DB122" i="7"/>
  <c r="CZ122" i="7"/>
  <c r="CX122" i="7"/>
  <c r="CV122" i="7"/>
  <c r="CT122" i="7"/>
  <c r="CR122" i="7"/>
  <c r="CP122" i="7"/>
  <c r="CN122" i="7"/>
  <c r="CL122" i="7"/>
  <c r="CJ122" i="7"/>
  <c r="CH122" i="7"/>
  <c r="CF122" i="7"/>
  <c r="CD122" i="7"/>
  <c r="CB122" i="7"/>
  <c r="BZ122" i="7"/>
  <c r="BX122" i="7"/>
  <c r="BV122" i="7"/>
  <c r="BT122" i="7"/>
  <c r="BR122" i="7"/>
  <c r="BP122" i="7"/>
  <c r="BN122" i="7"/>
  <c r="BL122" i="7"/>
  <c r="AT122" i="7"/>
  <c r="AR122" i="7"/>
  <c r="AP122" i="7"/>
  <c r="AN122" i="7"/>
  <c r="AL122" i="7"/>
  <c r="AJ122" i="7"/>
  <c r="AH122" i="7"/>
  <c r="AF122" i="7"/>
  <c r="AD122" i="7"/>
  <c r="AB122" i="7"/>
  <c r="Z122" i="7"/>
  <c r="X122" i="7"/>
  <c r="V122" i="7"/>
  <c r="T122" i="7"/>
  <c r="R122" i="7"/>
  <c r="P122" i="7"/>
  <c r="N122" i="7"/>
  <c r="L122" i="7"/>
  <c r="J122" i="7"/>
  <c r="H122" i="7"/>
  <c r="BJ122" i="7"/>
  <c r="BH122" i="7"/>
  <c r="BF122" i="7"/>
  <c r="BD122" i="7"/>
  <c r="BB122" i="7"/>
  <c r="AZ122" i="7"/>
  <c r="AX122" i="7"/>
  <c r="AV122" i="7"/>
  <c r="F122" i="7"/>
  <c r="D122" i="7"/>
  <c r="C122" i="7"/>
  <c r="EH109" i="7"/>
  <c r="EF109" i="7"/>
  <c r="ED109" i="7"/>
  <c r="EB109" i="7"/>
  <c r="DZ109" i="7"/>
  <c r="DX109" i="7"/>
  <c r="DV109" i="7"/>
  <c r="DT109" i="7"/>
  <c r="DR109" i="7"/>
  <c r="DP109" i="7"/>
  <c r="DN109" i="7"/>
  <c r="DL109" i="7"/>
  <c r="DJ109" i="7"/>
  <c r="DH109" i="7"/>
  <c r="DF109" i="7"/>
  <c r="DD109" i="7"/>
  <c r="DB109" i="7"/>
  <c r="CZ109" i="7"/>
  <c r="CX109" i="7"/>
  <c r="CV109" i="7"/>
  <c r="CT109" i="7"/>
  <c r="CR109" i="7"/>
  <c r="CP109" i="7"/>
  <c r="CN109" i="7"/>
  <c r="CL109" i="7"/>
  <c r="CJ109" i="7"/>
  <c r="CH109" i="7"/>
  <c r="CF109" i="7"/>
  <c r="CD109" i="7"/>
  <c r="CB109" i="7"/>
  <c r="BZ109" i="7"/>
  <c r="BX109" i="7"/>
  <c r="BV109" i="7"/>
  <c r="BT109" i="7"/>
  <c r="BR109" i="7"/>
  <c r="BP109" i="7"/>
  <c r="BN109" i="7"/>
  <c r="BL109" i="7"/>
  <c r="AT109" i="7"/>
  <c r="AR109" i="7"/>
  <c r="AP109" i="7"/>
  <c r="AN109" i="7"/>
  <c r="AL109" i="7"/>
  <c r="AJ109" i="7"/>
  <c r="AH109" i="7"/>
  <c r="AF109" i="7"/>
  <c r="AD109" i="7"/>
  <c r="AB109" i="7"/>
  <c r="Z109" i="7"/>
  <c r="X109" i="7"/>
  <c r="V109" i="7"/>
  <c r="T109" i="7"/>
  <c r="R109" i="7"/>
  <c r="P109" i="7"/>
  <c r="N109" i="7"/>
  <c r="L109" i="7"/>
  <c r="J109" i="7"/>
  <c r="H109" i="7"/>
  <c r="BJ109" i="7"/>
  <c r="BH109" i="7"/>
  <c r="BF109" i="7"/>
  <c r="BD109" i="7"/>
  <c r="BB109" i="7"/>
  <c r="AZ109" i="7"/>
  <c r="AX109" i="7"/>
  <c r="AV109" i="7"/>
  <c r="F109" i="7"/>
  <c r="D109" i="7"/>
  <c r="C109" i="7"/>
  <c r="EH88" i="7"/>
  <c r="EF88" i="7"/>
  <c r="ED88" i="7"/>
  <c r="EB88" i="7"/>
  <c r="DZ88" i="7"/>
  <c r="DX88" i="7"/>
  <c r="DV88" i="7"/>
  <c r="DT88" i="7"/>
  <c r="DR88" i="7"/>
  <c r="DP88" i="7"/>
  <c r="DN88" i="7"/>
  <c r="DL88" i="7"/>
  <c r="DJ88" i="7"/>
  <c r="DH88" i="7"/>
  <c r="DF88" i="7"/>
  <c r="DD88" i="7"/>
  <c r="DB88" i="7"/>
  <c r="CZ88" i="7"/>
  <c r="CX88" i="7"/>
  <c r="CV88" i="7"/>
  <c r="CT88" i="7"/>
  <c r="CR88" i="7"/>
  <c r="CP88" i="7"/>
  <c r="CN88" i="7"/>
  <c r="CL88" i="7"/>
  <c r="CJ88" i="7"/>
  <c r="CH88" i="7"/>
  <c r="CF88" i="7"/>
  <c r="CD88" i="7"/>
  <c r="CB88" i="7"/>
  <c r="BZ88" i="7"/>
  <c r="BX88" i="7"/>
  <c r="BV88" i="7"/>
  <c r="BT88" i="7"/>
  <c r="BR88" i="7"/>
  <c r="BP88" i="7"/>
  <c r="BN88" i="7"/>
  <c r="BL88" i="7"/>
  <c r="AT88" i="7"/>
  <c r="AR88" i="7"/>
  <c r="AP88" i="7"/>
  <c r="AN88" i="7"/>
  <c r="AL88" i="7"/>
  <c r="AJ88" i="7"/>
  <c r="AH88" i="7"/>
  <c r="AF88" i="7"/>
  <c r="AD88" i="7"/>
  <c r="AB88" i="7"/>
  <c r="Z88" i="7"/>
  <c r="X88" i="7"/>
  <c r="V88" i="7"/>
  <c r="T88" i="7"/>
  <c r="R88" i="7"/>
  <c r="P88" i="7"/>
  <c r="N88" i="7"/>
  <c r="L88" i="7"/>
  <c r="J88" i="7"/>
  <c r="H88" i="7"/>
  <c r="BJ88" i="7"/>
  <c r="BH88" i="7"/>
  <c r="BF88" i="7"/>
  <c r="BD88" i="7"/>
  <c r="BB88" i="7"/>
  <c r="AZ88" i="7"/>
  <c r="AX88" i="7"/>
  <c r="AV88" i="7"/>
  <c r="F88" i="7"/>
  <c r="D88" i="7"/>
  <c r="C88" i="7"/>
  <c r="EH73" i="7"/>
  <c r="EF73" i="7"/>
  <c r="ED73" i="7"/>
  <c r="EB73" i="7"/>
  <c r="DZ73" i="7"/>
  <c r="DX73" i="7"/>
  <c r="DV73" i="7"/>
  <c r="DT73" i="7"/>
  <c r="DR73" i="7"/>
  <c r="DP73" i="7"/>
  <c r="DN73" i="7"/>
  <c r="DL73" i="7"/>
  <c r="DJ73" i="7"/>
  <c r="DH73" i="7"/>
  <c r="DF73" i="7"/>
  <c r="DD73" i="7"/>
  <c r="DB73" i="7"/>
  <c r="CZ73" i="7"/>
  <c r="CX73" i="7"/>
  <c r="CV73" i="7"/>
  <c r="CT73" i="7"/>
  <c r="CR73" i="7"/>
  <c r="CP73" i="7"/>
  <c r="CN73" i="7"/>
  <c r="CL73" i="7"/>
  <c r="CJ73" i="7"/>
  <c r="CH73" i="7"/>
  <c r="CF73" i="7"/>
  <c r="CD73" i="7"/>
  <c r="CB73" i="7"/>
  <c r="BZ73" i="7"/>
  <c r="BX73" i="7"/>
  <c r="BV73" i="7"/>
  <c r="BT73" i="7"/>
  <c r="BR73" i="7"/>
  <c r="BP73" i="7"/>
  <c r="BN73" i="7"/>
  <c r="BL73" i="7"/>
  <c r="AT73" i="7"/>
  <c r="AR73" i="7"/>
  <c r="AP73" i="7"/>
  <c r="AN73" i="7"/>
  <c r="AL73" i="7"/>
  <c r="AJ73" i="7"/>
  <c r="AH73" i="7"/>
  <c r="AF73" i="7"/>
  <c r="AD73" i="7"/>
  <c r="AB73" i="7"/>
  <c r="Z73" i="7"/>
  <c r="X73" i="7"/>
  <c r="V73" i="7"/>
  <c r="T73" i="7"/>
  <c r="R73" i="7"/>
  <c r="P73" i="7"/>
  <c r="N73" i="7"/>
  <c r="L73" i="7"/>
  <c r="J73" i="7"/>
  <c r="H73" i="7"/>
  <c r="BJ73" i="7"/>
  <c r="BH73" i="7"/>
  <c r="BF73" i="7"/>
  <c r="BD73" i="7"/>
  <c r="BB73" i="7"/>
  <c r="AZ73" i="7"/>
  <c r="AX73" i="7"/>
  <c r="AV73" i="7"/>
  <c r="F73" i="7"/>
  <c r="D73" i="7"/>
  <c r="C73" i="7"/>
  <c r="EH60" i="7"/>
  <c r="EF60" i="7"/>
  <c r="ED60" i="7"/>
  <c r="EB60" i="7"/>
  <c r="DZ60" i="7"/>
  <c r="DX60" i="7"/>
  <c r="DV60" i="7"/>
  <c r="DT60" i="7"/>
  <c r="DR60" i="7"/>
  <c r="DP60" i="7"/>
  <c r="DN60" i="7"/>
  <c r="DL60" i="7"/>
  <c r="DJ60" i="7"/>
  <c r="DH60" i="7"/>
  <c r="DF60" i="7"/>
  <c r="DD60" i="7"/>
  <c r="DB60" i="7"/>
  <c r="CZ60" i="7"/>
  <c r="CX60" i="7"/>
  <c r="CV60" i="7"/>
  <c r="CT60" i="7"/>
  <c r="CR60" i="7"/>
  <c r="CP60" i="7"/>
  <c r="CN60" i="7"/>
  <c r="CL60" i="7"/>
  <c r="CJ60" i="7"/>
  <c r="CH60" i="7"/>
  <c r="CF60" i="7"/>
  <c r="CD60" i="7"/>
  <c r="CB60" i="7"/>
  <c r="BZ60" i="7"/>
  <c r="BX60" i="7"/>
  <c r="BV60" i="7"/>
  <c r="BT60" i="7"/>
  <c r="BR60" i="7"/>
  <c r="BP60" i="7"/>
  <c r="BN60" i="7"/>
  <c r="BL60" i="7"/>
  <c r="AT60" i="7"/>
  <c r="AR60" i="7"/>
  <c r="AP60" i="7"/>
  <c r="AN60" i="7"/>
  <c r="AL60" i="7"/>
  <c r="AJ60" i="7"/>
  <c r="AH60" i="7"/>
  <c r="AF60" i="7"/>
  <c r="AD60" i="7"/>
  <c r="AB60" i="7"/>
  <c r="Z60" i="7"/>
  <c r="X60" i="7"/>
  <c r="V60" i="7"/>
  <c r="T60" i="7"/>
  <c r="R60" i="7"/>
  <c r="P60" i="7"/>
  <c r="N60" i="7"/>
  <c r="L60" i="7"/>
  <c r="J60" i="7"/>
  <c r="H60" i="7"/>
  <c r="BJ60" i="7"/>
  <c r="BH60" i="7"/>
  <c r="BF60" i="7"/>
  <c r="BD60" i="7"/>
  <c r="BB60" i="7"/>
  <c r="AZ60" i="7"/>
  <c r="AX60" i="7"/>
  <c r="AV60" i="7"/>
  <c r="F60" i="7"/>
  <c r="D60" i="7"/>
  <c r="C60" i="7"/>
  <c r="EH47" i="7"/>
  <c r="EF47" i="7"/>
  <c r="ED47" i="7"/>
  <c r="EB47" i="7"/>
  <c r="DZ47" i="7"/>
  <c r="DX47" i="7"/>
  <c r="DV47" i="7"/>
  <c r="DT47" i="7"/>
  <c r="DR47" i="7"/>
  <c r="DP47" i="7"/>
  <c r="DN47" i="7"/>
  <c r="DL47" i="7"/>
  <c r="DJ47" i="7"/>
  <c r="DH47" i="7"/>
  <c r="DF47" i="7"/>
  <c r="DD47" i="7"/>
  <c r="DB47" i="7"/>
  <c r="CZ47" i="7"/>
  <c r="CX47" i="7"/>
  <c r="CV47" i="7"/>
  <c r="CT47" i="7"/>
  <c r="CR47" i="7"/>
  <c r="CP47" i="7"/>
  <c r="CN47" i="7"/>
  <c r="CL47" i="7"/>
  <c r="CJ47" i="7"/>
  <c r="CH47" i="7"/>
  <c r="CF47" i="7"/>
  <c r="CD47" i="7"/>
  <c r="CB47" i="7"/>
  <c r="BZ47" i="7"/>
  <c r="BX47" i="7"/>
  <c r="BV47" i="7"/>
  <c r="BT47" i="7"/>
  <c r="BR47" i="7"/>
  <c r="BP47" i="7"/>
  <c r="BN47" i="7"/>
  <c r="BL47" i="7"/>
  <c r="AT47" i="7"/>
  <c r="AR47" i="7"/>
  <c r="AP47" i="7"/>
  <c r="AN47" i="7"/>
  <c r="AL47" i="7"/>
  <c r="AJ47" i="7"/>
  <c r="AH47" i="7"/>
  <c r="AF47" i="7"/>
  <c r="AD47" i="7"/>
  <c r="AB47" i="7"/>
  <c r="Z47" i="7"/>
  <c r="X47" i="7"/>
  <c r="V47" i="7"/>
  <c r="T47" i="7"/>
  <c r="R47" i="7"/>
  <c r="P47" i="7"/>
  <c r="N47" i="7"/>
  <c r="L47" i="7"/>
  <c r="J47" i="7"/>
  <c r="H47" i="7"/>
  <c r="BJ47" i="7"/>
  <c r="BH47" i="7"/>
  <c r="BF47" i="7"/>
  <c r="BD47" i="7"/>
  <c r="BB47" i="7"/>
  <c r="AZ47" i="7"/>
  <c r="AX47" i="7"/>
  <c r="AV47" i="7"/>
  <c r="F47" i="7"/>
  <c r="D47" i="7"/>
  <c r="C47" i="7"/>
  <c r="EH33" i="7"/>
  <c r="EF33" i="7"/>
  <c r="ED33" i="7"/>
  <c r="EB33" i="7"/>
  <c r="DZ33" i="7"/>
  <c r="DX33" i="7"/>
  <c r="DV33" i="7"/>
  <c r="DT33" i="7"/>
  <c r="DR33" i="7"/>
  <c r="DP33" i="7"/>
  <c r="DN33" i="7"/>
  <c r="DL33" i="7"/>
  <c r="DJ33" i="7"/>
  <c r="DH33" i="7"/>
  <c r="DF33" i="7"/>
  <c r="DD33" i="7"/>
  <c r="DB33" i="7"/>
  <c r="CZ33" i="7"/>
  <c r="CX33" i="7"/>
  <c r="CV33" i="7"/>
  <c r="CT33" i="7"/>
  <c r="CR33" i="7"/>
  <c r="CP33" i="7"/>
  <c r="CN33" i="7"/>
  <c r="CL33" i="7"/>
  <c r="CJ33" i="7"/>
  <c r="CH33" i="7"/>
  <c r="CF33" i="7"/>
  <c r="CD33" i="7"/>
  <c r="CB33" i="7"/>
  <c r="BZ33" i="7"/>
  <c r="BX33" i="7"/>
  <c r="BV33" i="7"/>
  <c r="BT33" i="7"/>
  <c r="BR33" i="7"/>
  <c r="BP33" i="7"/>
  <c r="BN33" i="7"/>
  <c r="BL33" i="7"/>
  <c r="AT33" i="7"/>
  <c r="AR33" i="7"/>
  <c r="AP33" i="7"/>
  <c r="AN33" i="7"/>
  <c r="AL33" i="7"/>
  <c r="AJ33" i="7"/>
  <c r="AH33" i="7"/>
  <c r="AF33" i="7"/>
  <c r="AD33" i="7"/>
  <c r="AB33" i="7"/>
  <c r="Z33" i="7"/>
  <c r="X33" i="7"/>
  <c r="V33" i="7"/>
  <c r="T33" i="7"/>
  <c r="R33" i="7"/>
  <c r="P33" i="7"/>
  <c r="N33" i="7"/>
  <c r="L33" i="7"/>
  <c r="J33" i="7"/>
  <c r="H33" i="7"/>
  <c r="BJ33" i="7"/>
  <c r="BH33" i="7"/>
  <c r="BF33" i="7"/>
  <c r="BD33" i="7"/>
  <c r="BB33" i="7"/>
  <c r="AZ33" i="7"/>
  <c r="AX33" i="7"/>
  <c r="AV33" i="7"/>
  <c r="F33" i="7"/>
  <c r="D33" i="7"/>
  <c r="C33" i="7"/>
  <c r="EH20" i="7"/>
  <c r="EF20" i="7"/>
  <c r="ED20" i="7"/>
  <c r="EB20" i="7"/>
  <c r="DZ20" i="7"/>
  <c r="DX20" i="7"/>
  <c r="DV20" i="7"/>
  <c r="DT20" i="7"/>
  <c r="DR20" i="7"/>
  <c r="DP20" i="7"/>
  <c r="DN20" i="7"/>
  <c r="DL20" i="7"/>
  <c r="DJ20" i="7"/>
  <c r="DH20" i="7"/>
  <c r="DF20" i="7"/>
  <c r="DD20" i="7"/>
  <c r="DB20" i="7"/>
  <c r="CZ20" i="7"/>
  <c r="CX20" i="7"/>
  <c r="CV20" i="7"/>
  <c r="CT20" i="7"/>
  <c r="CR20" i="7"/>
  <c r="CP20" i="7"/>
  <c r="CN20" i="7"/>
  <c r="CL20" i="7"/>
  <c r="CJ20" i="7"/>
  <c r="CH20" i="7"/>
  <c r="CF20" i="7"/>
  <c r="CD20" i="7"/>
  <c r="CB20" i="7"/>
  <c r="BZ20" i="7"/>
  <c r="BX20" i="7"/>
  <c r="BV20" i="7"/>
  <c r="BT20" i="7"/>
  <c r="BR20" i="7"/>
  <c r="BP20" i="7"/>
  <c r="BN20" i="7"/>
  <c r="BL20" i="7"/>
  <c r="AT20" i="7"/>
  <c r="AR20" i="7"/>
  <c r="AP20" i="7"/>
  <c r="AN20" i="7"/>
  <c r="AL20" i="7"/>
  <c r="AJ20" i="7"/>
  <c r="AH20" i="7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BJ20" i="7"/>
  <c r="BH20" i="7"/>
  <c r="BF20" i="7"/>
  <c r="BD20" i="7"/>
  <c r="BB20" i="7"/>
  <c r="AZ20" i="7"/>
  <c r="AX20" i="7"/>
  <c r="AV20" i="7"/>
  <c r="F20" i="7"/>
  <c r="D20" i="7"/>
  <c r="C20" i="7"/>
  <c r="EH8" i="7"/>
  <c r="EF8" i="7"/>
  <c r="ED8" i="7"/>
  <c r="EB8" i="7"/>
  <c r="DZ8" i="7"/>
  <c r="DX8" i="7"/>
  <c r="DV8" i="7"/>
  <c r="DT8" i="7"/>
  <c r="DR8" i="7"/>
  <c r="DP8" i="7"/>
  <c r="DN8" i="7"/>
  <c r="DL8" i="7"/>
  <c r="DJ8" i="7"/>
  <c r="DH8" i="7"/>
  <c r="DF8" i="7"/>
  <c r="DD8" i="7"/>
  <c r="DB8" i="7"/>
  <c r="CZ8" i="7"/>
  <c r="CX8" i="7"/>
  <c r="CV8" i="7"/>
  <c r="CT8" i="7"/>
  <c r="CR8" i="7"/>
  <c r="CP8" i="7"/>
  <c r="CN8" i="7"/>
  <c r="CL8" i="7"/>
  <c r="CJ8" i="7"/>
  <c r="CH8" i="7"/>
  <c r="CF8" i="7"/>
  <c r="CD8" i="7"/>
  <c r="CB8" i="7"/>
  <c r="BZ8" i="7"/>
  <c r="BX8" i="7"/>
  <c r="BV8" i="7"/>
  <c r="BT8" i="7"/>
  <c r="BR8" i="7"/>
  <c r="BP8" i="7"/>
  <c r="BN8" i="7"/>
  <c r="BL8" i="7"/>
  <c r="AT8" i="7"/>
  <c r="AR8" i="7"/>
  <c r="AP8" i="7"/>
  <c r="AN8" i="7"/>
  <c r="AL8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BJ8" i="7"/>
  <c r="BH8" i="7"/>
  <c r="BF8" i="7"/>
  <c r="BD8" i="7"/>
  <c r="BB8" i="7"/>
  <c r="AZ8" i="7"/>
  <c r="AX8" i="7"/>
  <c r="AV8" i="7"/>
  <c r="F8" i="7"/>
  <c r="D8" i="7"/>
  <c r="C8" i="7"/>
</calcChain>
</file>

<file path=xl/sharedStrings.xml><?xml version="1.0" encoding="utf-8"?>
<sst xmlns="http://schemas.openxmlformats.org/spreadsheetml/2006/main" count="3350" uniqueCount="270">
  <si>
    <t>Political Affiliation</t>
  </si>
  <si>
    <t>Unvaccinated</t>
  </si>
  <si>
    <t>Vaccine Hesitant</t>
  </si>
  <si>
    <t>Age</t>
  </si>
  <si>
    <t>Vaccine Status</t>
  </si>
  <si>
    <t>Vaccine Hesitancy</t>
  </si>
  <si>
    <t>Long COVID Aided Concern</t>
  </si>
  <si>
    <t>Total</t>
  </si>
  <si>
    <t>Wave 1</t>
  </si>
  <si>
    <t>Wave 2</t>
  </si>
  <si>
    <t>Gender</t>
  </si>
  <si>
    <t>Male</t>
  </si>
  <si>
    <t>Female</t>
  </si>
  <si>
    <t>Census Region</t>
  </si>
  <si>
    <t>Household Income</t>
  </si>
  <si>
    <t>Education</t>
  </si>
  <si>
    <t>Marital Status</t>
  </si>
  <si>
    <t>Ethnic Background</t>
  </si>
  <si>
    <t>Type Of Community</t>
  </si>
  <si>
    <t>18 To 29</t>
  </si>
  <si>
    <t>30 To 49</t>
  </si>
  <si>
    <t>50 To 64</t>
  </si>
  <si>
    <t>65 Or Older</t>
  </si>
  <si>
    <t>Vaccinated</t>
  </si>
  <si>
    <t>Vaccinated/Intended</t>
  </si>
  <si>
    <t>Hesitant</t>
  </si>
  <si>
    <t>Demo-</t>
  </si>
  <si>
    <t>Inde-</t>
  </si>
  <si>
    <t>Repub-</t>
  </si>
  <si>
    <t>Northeast</t>
  </si>
  <si>
    <t>South</t>
  </si>
  <si>
    <t>Midwest</t>
  </si>
  <si>
    <t>West</t>
  </si>
  <si>
    <t>Under $50K</t>
  </si>
  <si>
    <t>$50K Or More</t>
  </si>
  <si>
    <t>No College</t>
  </si>
  <si>
    <t>College</t>
  </si>
  <si>
    <t>Married</t>
  </si>
  <si>
    <t>Not Married</t>
  </si>
  <si>
    <t>Caucasian</t>
  </si>
  <si>
    <t>African-American</t>
  </si>
  <si>
    <t>Hispanic</t>
  </si>
  <si>
    <t>Democrat</t>
  </si>
  <si>
    <t>Republican</t>
  </si>
  <si>
    <t>Independent</t>
  </si>
  <si>
    <t>Urban</t>
  </si>
  <si>
    <t>Suburban</t>
  </si>
  <si>
    <t>Rural</t>
  </si>
  <si>
    <t>W1</t>
  </si>
  <si>
    <t>W2</t>
  </si>
  <si>
    <t>crat</t>
  </si>
  <si>
    <t>pendent</t>
  </si>
  <si>
    <t>lican</t>
  </si>
  <si>
    <t>LQ.1</t>
  </si>
  <si>
    <t>Vaccination Status</t>
  </si>
  <si>
    <t>Total Respondents</t>
  </si>
  <si>
    <t>Vaccinated (net)</t>
  </si>
  <si>
    <t>One-dose vaccine</t>
  </si>
  <si>
    <t>First dose of two-dose vaccine</t>
  </si>
  <si>
    <t>Both doses of a two-dose vaccine</t>
  </si>
  <si>
    <t>Have not gotten the vaccine</t>
  </si>
  <si>
    <t>LQ.2</t>
  </si>
  <si>
    <t>Vaccination Intention</t>
  </si>
  <si>
    <t>Total Unvaccinated</t>
  </si>
  <si>
    <t>Get the vaccine as soon as possible</t>
  </si>
  <si>
    <t>Vaccine Hesitant (net)</t>
  </si>
  <si>
    <t>Wait until it has been available for a while to see how it is working for other people</t>
  </si>
  <si>
    <t>Only get the vaccine if I am required to do so for work, school or other activities</t>
  </si>
  <si>
    <t>Definitely will not get the vaccine</t>
  </si>
  <si>
    <t>Don't know</t>
  </si>
  <si>
    <t>LQ.3</t>
  </si>
  <si>
    <t>Long COVID Awareness</t>
  </si>
  <si>
    <t>Aware Of Long COVID (net)</t>
  </si>
  <si>
    <t>Know A Lot/A Moderate Amount About It (subnet)</t>
  </si>
  <si>
    <t>Know a lot about it</t>
  </si>
  <si>
    <t>Know a moderate amount about it</t>
  </si>
  <si>
    <t>Have heard of it, but don't know much about it</t>
  </si>
  <si>
    <t>Haven't heard of it</t>
  </si>
  <si>
    <t>LQ.4</t>
  </si>
  <si>
    <t>Long COVID Concern</t>
  </si>
  <si>
    <t>Total Aware Of Long COVID</t>
  </si>
  <si>
    <t>Very/Somewhat Concerned (net)</t>
  </si>
  <si>
    <t>Very concerned</t>
  </si>
  <si>
    <t>Somewhat concerned</t>
  </si>
  <si>
    <t>Not Too/Not At All Concerned (net)</t>
  </si>
  <si>
    <t>Not too concerned</t>
  </si>
  <si>
    <t>Not at all concerned</t>
  </si>
  <si>
    <t>Mean</t>
  </si>
  <si>
    <t>Standard Error</t>
  </si>
  <si>
    <t>LQ.5</t>
  </si>
  <si>
    <t>LQ.6</t>
  </si>
  <si>
    <t>Long COVID Motivation</t>
  </si>
  <si>
    <t>A Lot/Somewhat More Likely (net)</t>
  </si>
  <si>
    <t>A lot more likely</t>
  </si>
  <si>
    <t>Somewhat more likely</t>
  </si>
  <si>
    <t>No more or less likely</t>
  </si>
  <si>
    <t>Somewhat/A Lot Less Likely (net)</t>
  </si>
  <si>
    <t>Somewhat less likely</t>
  </si>
  <si>
    <t>A lot less likely</t>
  </si>
  <si>
    <t>Best Reason For Non-Concern</t>
  </si>
  <si>
    <t>Total Wave 2 Not Too/Not At All Concerned About Long COVID</t>
  </si>
  <si>
    <t>Received the COVID-19 vaccination</t>
  </si>
  <si>
    <t>Don't think I will get COVID-19 at all</t>
  </si>
  <si>
    <t>Don't think I will get long COVID</t>
  </si>
  <si>
    <t>Had COVID-19</t>
  </si>
  <si>
    <t>The symptoms of long COVID are not concerning</t>
  </si>
  <si>
    <t>There is too much that is still unknown about long COVID</t>
  </si>
  <si>
    <t>Other</t>
  </si>
  <si>
    <t>X</t>
  </si>
  <si>
    <t>Y</t>
  </si>
  <si>
    <t>No answer</t>
  </si>
  <si>
    <t>LQ.8</t>
  </si>
  <si>
    <t>M2</t>
  </si>
  <si>
    <t>Long COVID Three Greatest Concerns</t>
  </si>
  <si>
    <t>Total Very/Somewhat Concerned About Long COVID</t>
  </si>
  <si>
    <t>Fatigue</t>
  </si>
  <si>
    <t>Shortness of breath</t>
  </si>
  <si>
    <t>Chest pain</t>
  </si>
  <si>
    <t>Joint pain</t>
  </si>
  <si>
    <t>“Brain fog” difficulty concentrating</t>
  </si>
  <si>
    <t>Headache</t>
  </si>
  <si>
    <t>Loss of taste</t>
  </si>
  <si>
    <t>Loss of smell</t>
  </si>
  <si>
    <t>Muscle pain</t>
  </si>
  <si>
    <t>Dizziness</t>
  </si>
  <si>
    <t>Trouble sleeping</t>
  </si>
  <si>
    <t>Feelings of depression or anxiety</t>
  </si>
  <si>
    <t>Symptoms that get worse after physical exertion</t>
  </si>
  <si>
    <t>Gastrointestinal problems, including nausea, stomach aches, loss of appetite and diarrhea</t>
  </si>
  <si>
    <t>Impotence</t>
  </si>
  <si>
    <t>LQ.9</t>
  </si>
  <si>
    <t>Believability - Best Way Message</t>
  </si>
  <si>
    <t>Very/Somewhat Believable (net)</t>
  </si>
  <si>
    <t>Very believable</t>
  </si>
  <si>
    <t>Somewhat believable</t>
  </si>
  <si>
    <t>Not Too/Not At All Believable (net)</t>
  </si>
  <si>
    <t>Not too believable</t>
  </si>
  <si>
    <t>Not at all believable</t>
  </si>
  <si>
    <t>Best Reason For Non-Believability Best Way Message</t>
  </si>
  <si>
    <t>Total Wave 2 Saying "Best Way Message" Is Not Too/Not At All Believable</t>
  </si>
  <si>
    <t>There is too much that is still unknown about the COVID-19 vaccine</t>
  </si>
  <si>
    <t>Do not trust the COVID-19 vaccine is safe</t>
  </si>
  <si>
    <t>Do not trust the COVID-19 vaccine is effective</t>
  </si>
  <si>
    <t>Think the COVID-19 vaccine has risks that are worse than getting COVID-19, so it is not a solution</t>
  </si>
  <si>
    <t>LQ.11</t>
  </si>
  <si>
    <t>Motivation - Best Way Message</t>
  </si>
  <si>
    <t>LQ.12</t>
  </si>
  <si>
    <t>Concern - Six Months Message</t>
  </si>
  <si>
    <t>A Lot/Somewhat More Concerned (net)</t>
  </si>
  <si>
    <t>A lot more concerned</t>
  </si>
  <si>
    <t>Somewhat more concerned</t>
  </si>
  <si>
    <t>No more or less concerned</t>
  </si>
  <si>
    <t>Somewhat/A Lot Less Concerned (net)</t>
  </si>
  <si>
    <t>Somewhat less concerned</t>
  </si>
  <si>
    <t>A lot less concerned</t>
  </si>
  <si>
    <t>LQ.13</t>
  </si>
  <si>
    <t>Motivation - Six Months Message</t>
  </si>
  <si>
    <t>LQ.14</t>
  </si>
  <si>
    <t>Concern - Age Message</t>
  </si>
  <si>
    <t>LQ.15</t>
  </si>
  <si>
    <t>Motivation - Age Message</t>
  </si>
  <si>
    <t>LQ.16</t>
  </si>
  <si>
    <t>Concern - Personal Story</t>
  </si>
  <si>
    <t>LQ.17</t>
  </si>
  <si>
    <t>Motivation - Personal Story</t>
  </si>
  <si>
    <t>M1</t>
  </si>
  <si>
    <t>S2</t>
  </si>
  <si>
    <t xml:space="preserve">%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</si>
  <si>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</si>
  <si>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</si>
  <si>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</si>
  <si>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</si>
  <si>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</si>
  <si>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</si>
  <si>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</si>
  <si>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</si>
  <si>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</si>
  <si>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</si>
  <si>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</si>
  <si>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</si>
  <si>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</si>
  <si>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</si>
  <si>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</si>
  <si>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</si>
  <si>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</si>
  <si>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</si>
  <si>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</si>
  <si>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</si>
  <si>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Z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</si>
  <si>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</si>
  <si>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</si>
  <si>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</si>
  <si>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</si>
  <si>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</si>
  <si>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</si>
  <si>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</si>
  <si>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</si>
  <si>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</si>
  <si>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</si>
  <si>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</si>
  <si>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</si>
  <si>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T1</t>
  </si>
  <si>
    <t>U1</t>
  </si>
  <si>
    <t>V1</t>
  </si>
  <si>
    <t>X1</t>
  </si>
  <si>
    <t>Y1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</si>
  <si>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</si>
  <si>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</si>
  <si>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</si>
  <si>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</si>
  <si>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</si>
  <si>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</si>
  <si>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</si>
  <si>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</si>
  <si>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</si>
  <si>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</si>
  <si>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</si>
  <si>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N2</t>
  </si>
  <si>
    <t>O2</t>
  </si>
  <si>
    <t>P2</t>
  </si>
  <si>
    <t>Q2</t>
  </si>
  <si>
    <t>R2</t>
  </si>
  <si>
    <t>L3</t>
  </si>
  <si>
    <t>M3</t>
  </si>
  <si>
    <t>N3</t>
  </si>
  <si>
    <t>O3</t>
  </si>
  <si>
    <t>P3</t>
  </si>
  <si>
    <t>Q3</t>
  </si>
  <si>
    <t>R3</t>
  </si>
  <si>
    <t>S3</t>
  </si>
  <si>
    <t>T3</t>
  </si>
  <si>
    <t>U3</t>
  </si>
  <si>
    <t>V3</t>
  </si>
  <si>
    <t>W3</t>
  </si>
  <si>
    <t>B4</t>
  </si>
  <si>
    <t>C4</t>
  </si>
  <si>
    <t>D4</t>
  </si>
  <si>
    <t>E4</t>
  </si>
  <si>
    <t>F4</t>
  </si>
  <si>
    <t>G4</t>
  </si>
  <si>
    <t>CD</t>
  </si>
  <si>
    <t>CDE</t>
  </si>
  <si>
    <t>D1E1</t>
  </si>
  <si>
    <t>X1Y1</t>
  </si>
  <si>
    <t>EF</t>
  </si>
  <si>
    <t>C2D2</t>
  </si>
  <si>
    <t>U1V1</t>
  </si>
  <si>
    <t>B2D2</t>
  </si>
  <si>
    <t>C1F1</t>
  </si>
  <si>
    <t>B2C2</t>
  </si>
  <si>
    <t>NO</t>
  </si>
  <si>
    <t>QR</t>
  </si>
  <si>
    <t>DF</t>
  </si>
  <si>
    <t>D1F1</t>
  </si>
  <si>
    <t>MN</t>
  </si>
  <si>
    <t>W1Y1</t>
  </si>
  <si>
    <t>CF</t>
  </si>
  <si>
    <t>PQ</t>
  </si>
  <si>
    <t>E1F1</t>
  </si>
  <si>
    <t>T1V1</t>
  </si>
  <si>
    <t>DEF</t>
  </si>
  <si>
    <t>DE</t>
  </si>
  <si>
    <t>T1U1</t>
  </si>
  <si>
    <t>Percents Shown</t>
  </si>
  <si>
    <t>Stats Testing at 95% confidence interval</t>
  </si>
  <si>
    <t xml:space="preserve">Letter denotes significantly higher than segment noted </t>
  </si>
  <si>
    <t>Race/Ethnic Background</t>
  </si>
  <si>
    <t>LQ.7</t>
  </si>
  <si>
    <t>LQ.10</t>
  </si>
  <si>
    <t>Questions 7 and 10 were only fielded in Wave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</si>
</sst>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\-0_ ;\-_ "/>
    <numFmt numFmtId="165" formatCode="\(0\);\(0\);\(\-\)"/>
    <numFmt numFmtId="166" formatCode="0.0;\-0.0;\-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Consolas"/>
      <family val="3"/>
    </font>
    <font>
      <b/>
      <sz val="9"/>
      <name val="Consolas"/>
      <family val="3"/>
    </font>
    <font>
      <b/>
      <sz val="9"/>
      <color theme="1"/>
      <name val="Consolas"/>
      <family val="3"/>
    </font>
    <font>
      <b/>
      <sz val="11"/>
      <color theme="1"/>
      <name val="Consolas"/>
      <family val="3"/>
    </font>
    <font>
      <b/>
      <sz val="9"/>
      <color rgb="FF000000"/>
      <name val="Consolas"/>
      <family val="3"/>
    </font>
    <font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3" fillId="0" borderId="0"/>
  </cellStyleXfs>
  <cellXfs count="319">
    <xf numFmtId="0" fontId="0" fillId="0" borderId="0" xfId="0"/>
    <xf numFmtId="0" fontId="4" fillId="0" borderId="0" xfId="1"/>
    <xf numFmtId="49" fontId="4" fillId="0" borderId="0" xfId="1" applyNumberForma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4" fillId="0" borderId="0" xfId="1" applyNumberFormat="1"/>
    <xf numFmtId="49" fontId="0" fillId="0" borderId="0" xfId="0" applyNumberFormat="1"/>
    <xf numFmtId="164" fontId="7" fillId="0" borderId="0" xfId="1" applyNumberFormat="1" applyFont="1"/>
    <xf numFmtId="49" fontId="3" fillId="0" borderId="0" xfId="0" applyNumberFormat="1" applyFont="1" applyAlignment="1">
      <alignment horizontal="left" indent="1"/>
    </xf>
    <xf numFmtId="164" fontId="3" fillId="0" borderId="0" xfId="1" applyNumberFormat="1" applyFont="1"/>
    <xf numFmtId="49" fontId="3" fillId="0" borderId="0" xfId="0" applyNumberFormat="1" applyFont="1"/>
    <xf numFmtId="0" fontId="7" fillId="0" borderId="0" xfId="0" applyFont="1" applyAlignment="1">
      <alignment horizontal="left" indent="1"/>
    </xf>
    <xf numFmtId="49" fontId="3" fillId="0" borderId="0" xfId="0" applyNumberFormat="1" applyFont="1" applyAlignment="1">
      <alignment horizontal="left" indent="2"/>
    </xf>
    <xf numFmtId="49" fontId="3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49" fontId="5" fillId="0" borderId="0" xfId="1" applyNumberFormat="1" applyFont="1" applyAlignment="1">
      <alignment horizontal="center" wrapText="1"/>
    </xf>
    <xf numFmtId="0" fontId="4" fillId="0" borderId="0" xfId="1" applyAlignment="1">
      <alignment wrapText="1"/>
    </xf>
    <xf numFmtId="49" fontId="8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left" vertical="top"/>
    </xf>
    <xf numFmtId="49" fontId="1" fillId="0" borderId="0" xfId="2" applyNumberFormat="1" applyAlignment="1">
      <alignment vertical="top" wrapText="1"/>
    </xf>
    <xf numFmtId="49" fontId="5" fillId="0" borderId="0" xfId="2" applyNumberFormat="1" applyFont="1" applyAlignment="1">
      <alignment vertical="top" wrapText="1"/>
    </xf>
    <xf numFmtId="0" fontId="5" fillId="0" borderId="0" xfId="2" applyFont="1" applyAlignment="1">
      <alignment horizontal="center"/>
    </xf>
    <xf numFmtId="0" fontId="1" fillId="0" borderId="0" xfId="2"/>
    <xf numFmtId="49" fontId="5" fillId="0" borderId="0" xfId="2" applyNumberFormat="1" applyFont="1" applyAlignment="1">
      <alignment horizontal="center"/>
    </xf>
    <xf numFmtId="0" fontId="6" fillId="0" borderId="0" xfId="3" applyFont="1"/>
    <xf numFmtId="0" fontId="7" fillId="0" borderId="0" xfId="3" applyFont="1"/>
    <xf numFmtId="0" fontId="3" fillId="0" borderId="0" xfId="3"/>
    <xf numFmtId="164" fontId="1" fillId="0" borderId="0" xfId="2" applyNumberFormat="1"/>
    <xf numFmtId="49" fontId="3" fillId="0" borderId="0" xfId="3" applyNumberFormat="1"/>
    <xf numFmtId="49" fontId="3" fillId="0" borderId="0" xfId="3" applyNumberFormat="1" applyAlignment="1">
      <alignment horizontal="right"/>
    </xf>
    <xf numFmtId="165" fontId="1" fillId="0" borderId="0" xfId="2" applyNumberFormat="1" applyAlignment="1">
      <alignment horizontal="right"/>
    </xf>
    <xf numFmtId="0" fontId="1" fillId="0" borderId="0" xfId="2" applyAlignment="1">
      <alignment horizontal="right"/>
    </xf>
    <xf numFmtId="164" fontId="7" fillId="0" borderId="0" xfId="2" applyNumberFormat="1" applyFont="1"/>
    <xf numFmtId="49" fontId="3" fillId="0" borderId="0" xfId="3" applyNumberFormat="1" applyAlignment="1">
      <alignment horizontal="left" indent="1"/>
    </xf>
    <xf numFmtId="164" fontId="3" fillId="0" borderId="0" xfId="2" applyNumberFormat="1" applyFont="1"/>
    <xf numFmtId="0" fontId="7" fillId="0" borderId="0" xfId="3" applyFont="1" applyAlignment="1">
      <alignment horizontal="left" indent="1"/>
    </xf>
    <xf numFmtId="49" fontId="3" fillId="0" borderId="0" xfId="3" applyNumberFormat="1" applyAlignment="1">
      <alignment horizontal="left" indent="2"/>
    </xf>
    <xf numFmtId="166" fontId="1" fillId="0" borderId="0" xfId="2" applyNumberFormat="1"/>
    <xf numFmtId="49" fontId="11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49" fontId="5" fillId="0" borderId="0" xfId="2" quotePrefix="1" applyNumberFormat="1" applyFont="1" applyAlignment="1">
      <alignment horizontal="center" wrapText="1"/>
    </xf>
    <xf numFmtId="49" fontId="9" fillId="0" borderId="0" xfId="2" quotePrefix="1" applyNumberFormat="1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49" fontId="9" fillId="0" borderId="0" xfId="2" applyNumberFormat="1" applyFont="1" applyAlignment="1">
      <alignment horizontal="center" wrapText="1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vertical="top" wrapText="1"/>
    </xf>
    <xf numFmtId="49" fontId="8" fillId="0" borderId="0" xfId="2" applyNumberFormat="1" applyFont="1" applyAlignment="1">
      <alignment horizontal="center"/>
    </xf>
    <xf numFmtId="49" fontId="8" fillId="0" borderId="0" xfId="2" quotePrefix="1" applyNumberFormat="1" applyFont="1" applyAlignment="1">
      <alignment horizontal="center" wrapText="1"/>
    </xf>
    <xf numFmtId="49" fontId="8" fillId="0" borderId="0" xfId="2" applyNumberFormat="1" applyFont="1" applyAlignment="1">
      <alignment horizontal="center" wrapText="1"/>
    </xf>
    <xf numFmtId="0" fontId="12" fillId="0" borderId="0" xfId="2" applyFont="1"/>
    <xf numFmtId="164" fontId="12" fillId="0" borderId="0" xfId="2" applyNumberFormat="1" applyFont="1"/>
    <xf numFmtId="165" fontId="12" fillId="0" borderId="0" xfId="2" applyNumberFormat="1" applyFont="1" applyAlignment="1">
      <alignment horizontal="right"/>
    </xf>
    <xf numFmtId="166" fontId="12" fillId="0" borderId="0" xfId="2" applyNumberFormat="1" applyFont="1"/>
    <xf numFmtId="0" fontId="10" fillId="0" borderId="0" xfId="2" applyFont="1"/>
    <xf numFmtId="49" fontId="5" fillId="0" borderId="0" xfId="2" applyNumberFormat="1" applyFont="1" applyAlignment="1">
      <alignment horizontal="center"/>
    </xf>
    <xf numFmtId="49" fontId="9" fillId="2" borderId="0" xfId="2" applyNumberFormat="1" applyFont="1" applyFill="1" applyAlignment="1">
      <alignment horizontal="center"/>
    </xf>
    <xf numFmtId="49" fontId="5" fillId="2" borderId="0" xfId="2" applyNumberFormat="1" applyFont="1" applyFill="1" applyAlignment="1">
      <alignment horizontal="center"/>
    </xf>
    <xf numFmtId="49" fontId="5" fillId="2" borderId="0" xfId="2" applyNumberFormat="1" applyFont="1" applyFill="1" applyAlignment="1">
      <alignment horizontal="center" wrapText="1"/>
    </xf>
    <xf numFmtId="49" fontId="9" fillId="2" borderId="0" xfId="2" applyNumberFormat="1" applyFont="1" applyFill="1" applyAlignment="1">
      <alignment horizontal="center" wrapText="1"/>
    </xf>
    <xf numFmtId="49" fontId="8" fillId="2" borderId="0" xfId="2" applyNumberFormat="1" applyFont="1" applyFill="1" applyAlignment="1">
      <alignment horizontal="center" wrapText="1"/>
    </xf>
    <xf numFmtId="0" fontId="1" fillId="2" borderId="0" xfId="2" applyFill="1"/>
    <xf numFmtId="0" fontId="12" fillId="2" borderId="0" xfId="2" applyFont="1" applyFill="1"/>
    <xf numFmtId="164" fontId="1" fillId="2" borderId="0" xfId="2" applyNumberFormat="1" applyFill="1"/>
    <xf numFmtId="164" fontId="12" fillId="2" borderId="0" xfId="2" applyNumberFormat="1" applyFont="1" applyFill="1"/>
    <xf numFmtId="165" fontId="1" fillId="2" borderId="0" xfId="2" applyNumberFormat="1" applyFill="1" applyAlignment="1">
      <alignment horizontal="right"/>
    </xf>
    <xf numFmtId="165" fontId="12" fillId="2" borderId="0" xfId="2" applyNumberFormat="1" applyFont="1" applyFill="1" applyAlignment="1">
      <alignment horizontal="right"/>
    </xf>
    <xf numFmtId="164" fontId="7" fillId="2" borderId="0" xfId="2" applyNumberFormat="1" applyFont="1" applyFill="1"/>
    <xf numFmtId="164" fontId="3" fillId="2" borderId="0" xfId="2" applyNumberFormat="1" applyFont="1" applyFill="1"/>
    <xf numFmtId="166" fontId="1" fillId="2" borderId="0" xfId="2" applyNumberFormat="1" applyFill="1"/>
    <xf numFmtId="166" fontId="12" fillId="2" borderId="0" xfId="2" applyNumberFormat="1" applyFont="1" applyFill="1"/>
    <xf numFmtId="0" fontId="10" fillId="2" borderId="0" xfId="2" applyFont="1" applyFill="1"/>
    <xf numFmtId="49" fontId="9" fillId="3" borderId="0" xfId="2" applyNumberFormat="1" applyFont="1" applyFill="1" applyAlignment="1">
      <alignment horizontal="center"/>
    </xf>
    <xf numFmtId="49" fontId="5" fillId="3" borderId="0" xfId="2" applyNumberFormat="1" applyFont="1" applyFill="1" applyAlignment="1">
      <alignment horizontal="center"/>
    </xf>
    <xf numFmtId="49" fontId="5" fillId="3" borderId="0" xfId="2" applyNumberFormat="1" applyFont="1" applyFill="1" applyAlignment="1">
      <alignment horizontal="center" wrapText="1"/>
    </xf>
    <xf numFmtId="49" fontId="9" fillId="3" borderId="0" xfId="2" applyNumberFormat="1" applyFont="1" applyFill="1" applyAlignment="1">
      <alignment horizontal="center" wrapText="1"/>
    </xf>
    <xf numFmtId="49" fontId="8" fillId="3" borderId="0" xfId="2" applyNumberFormat="1" applyFont="1" applyFill="1" applyAlignment="1">
      <alignment horizontal="center" wrapText="1"/>
    </xf>
    <xf numFmtId="0" fontId="1" fillId="3" borderId="0" xfId="2" applyFill="1"/>
    <xf numFmtId="0" fontId="12" fillId="3" borderId="0" xfId="2" applyFont="1" applyFill="1"/>
    <xf numFmtId="164" fontId="1" fillId="3" borderId="0" xfId="2" applyNumberFormat="1" applyFill="1"/>
    <xf numFmtId="164" fontId="12" fillId="3" borderId="0" xfId="2" applyNumberFormat="1" applyFont="1" applyFill="1"/>
    <xf numFmtId="165" fontId="1" fillId="3" borderId="0" xfId="2" applyNumberFormat="1" applyFill="1" applyAlignment="1">
      <alignment horizontal="right"/>
    </xf>
    <xf numFmtId="165" fontId="12" fillId="3" borderId="0" xfId="2" applyNumberFormat="1" applyFont="1" applyFill="1" applyAlignment="1">
      <alignment horizontal="right"/>
    </xf>
    <xf numFmtId="164" fontId="7" fillId="3" borderId="0" xfId="2" applyNumberFormat="1" applyFont="1" applyFill="1"/>
    <xf numFmtId="164" fontId="3" fillId="3" borderId="0" xfId="2" applyNumberFormat="1" applyFont="1" applyFill="1"/>
    <xf numFmtId="166" fontId="1" fillId="3" borderId="0" xfId="2" applyNumberFormat="1" applyFill="1"/>
    <xf numFmtId="166" fontId="12" fillId="3" borderId="0" xfId="2" applyNumberFormat="1" applyFont="1" applyFill="1"/>
    <xf numFmtId="0" fontId="10" fillId="3" borderId="0" xfId="2" applyFont="1" applyFill="1"/>
    <xf numFmtId="49" fontId="9" fillId="4" borderId="0" xfId="2" applyNumberFormat="1" applyFont="1" applyFill="1" applyAlignment="1">
      <alignment horizontal="center"/>
    </xf>
    <xf numFmtId="49" fontId="5" fillId="4" borderId="0" xfId="2" applyNumberFormat="1" applyFont="1" applyFill="1" applyAlignment="1">
      <alignment horizontal="center"/>
    </xf>
    <xf numFmtId="49" fontId="5" fillId="4" borderId="0" xfId="2" applyNumberFormat="1" applyFont="1" applyFill="1" applyAlignment="1">
      <alignment horizontal="center" wrapText="1"/>
    </xf>
    <xf numFmtId="49" fontId="9" fillId="4" borderId="0" xfId="2" applyNumberFormat="1" applyFont="1" applyFill="1" applyAlignment="1">
      <alignment horizontal="center" wrapText="1"/>
    </xf>
    <xf numFmtId="49" fontId="8" fillId="4" borderId="0" xfId="2" applyNumberFormat="1" applyFont="1" applyFill="1" applyAlignment="1">
      <alignment horizontal="center" wrapText="1"/>
    </xf>
    <xf numFmtId="0" fontId="1" fillId="4" borderId="0" xfId="2" applyFill="1"/>
    <xf numFmtId="0" fontId="12" fillId="4" borderId="0" xfId="2" applyFont="1" applyFill="1"/>
    <xf numFmtId="164" fontId="1" fillId="4" borderId="0" xfId="2" applyNumberFormat="1" applyFill="1"/>
    <xf numFmtId="164" fontId="12" fillId="4" borderId="0" xfId="2" applyNumberFormat="1" applyFont="1" applyFill="1"/>
    <xf numFmtId="165" fontId="1" fillId="4" borderId="0" xfId="2" applyNumberFormat="1" applyFill="1" applyAlignment="1">
      <alignment horizontal="right"/>
    </xf>
    <xf numFmtId="165" fontId="12" fillId="4" borderId="0" xfId="2" applyNumberFormat="1" applyFont="1" applyFill="1" applyAlignment="1">
      <alignment horizontal="right"/>
    </xf>
    <xf numFmtId="164" fontId="7" fillId="4" borderId="0" xfId="2" applyNumberFormat="1" applyFont="1" applyFill="1"/>
    <xf numFmtId="164" fontId="3" fillId="4" borderId="0" xfId="2" applyNumberFormat="1" applyFont="1" applyFill="1"/>
    <xf numFmtId="166" fontId="1" fillId="4" borderId="0" xfId="2" applyNumberFormat="1" applyFill="1"/>
    <xf numFmtId="166" fontId="12" fillId="4" borderId="0" xfId="2" applyNumberFormat="1" applyFont="1" applyFill="1"/>
    <xf numFmtId="0" fontId="10" fillId="4" borderId="0" xfId="2" applyFont="1" applyFill="1"/>
    <xf numFmtId="49" fontId="5" fillId="5" borderId="0" xfId="2" applyNumberFormat="1" applyFont="1" applyFill="1" applyAlignment="1">
      <alignment horizontal="center"/>
    </xf>
    <xf numFmtId="49" fontId="9" fillId="5" borderId="0" xfId="2" applyNumberFormat="1" applyFont="1" applyFill="1" applyAlignment="1">
      <alignment horizontal="center"/>
    </xf>
    <xf numFmtId="49" fontId="5" fillId="5" borderId="0" xfId="2" applyNumberFormat="1" applyFont="1" applyFill="1" applyAlignment="1">
      <alignment horizontal="center" wrapText="1"/>
    </xf>
    <xf numFmtId="49" fontId="9" fillId="5" borderId="0" xfId="2" applyNumberFormat="1" applyFont="1" applyFill="1" applyAlignment="1">
      <alignment horizontal="center" wrapText="1"/>
    </xf>
    <xf numFmtId="49" fontId="8" fillId="5" borderId="0" xfId="2" applyNumberFormat="1" applyFont="1" applyFill="1" applyAlignment="1">
      <alignment horizontal="center" wrapText="1"/>
    </xf>
    <xf numFmtId="0" fontId="1" fillId="5" borderId="0" xfId="2" applyFill="1"/>
    <xf numFmtId="0" fontId="12" fillId="5" borderId="0" xfId="2" applyFont="1" applyFill="1"/>
    <xf numFmtId="164" fontId="1" fillId="5" borderId="0" xfId="2" applyNumberFormat="1" applyFill="1"/>
    <xf numFmtId="164" fontId="12" fillId="5" borderId="0" xfId="2" applyNumberFormat="1" applyFont="1" applyFill="1"/>
    <xf numFmtId="165" fontId="1" fillId="5" borderId="0" xfId="2" applyNumberFormat="1" applyFill="1" applyAlignment="1">
      <alignment horizontal="right"/>
    </xf>
    <xf numFmtId="165" fontId="12" fillId="5" borderId="0" xfId="2" applyNumberFormat="1" applyFont="1" applyFill="1" applyAlignment="1">
      <alignment horizontal="right"/>
    </xf>
    <xf numFmtId="164" fontId="7" fillId="5" borderId="0" xfId="2" applyNumberFormat="1" applyFont="1" applyFill="1"/>
    <xf numFmtId="164" fontId="3" fillId="5" borderId="0" xfId="2" applyNumberFormat="1" applyFont="1" applyFill="1"/>
    <xf numFmtId="166" fontId="1" fillId="5" borderId="0" xfId="2" applyNumberFormat="1" applyFill="1"/>
    <xf numFmtId="166" fontId="12" fillId="5" borderId="0" xfId="2" applyNumberFormat="1" applyFont="1" applyFill="1"/>
    <xf numFmtId="0" fontId="10" fillId="5" borderId="0" xfId="2" applyFont="1" applyFill="1"/>
    <xf numFmtId="49" fontId="9" fillId="0" borderId="0" xfId="2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 wrapText="1"/>
    </xf>
    <xf numFmtId="49" fontId="9" fillId="0" borderId="0" xfId="2" applyNumberFormat="1" applyFont="1" applyFill="1" applyAlignment="1">
      <alignment horizontal="center" wrapText="1"/>
    </xf>
    <xf numFmtId="49" fontId="8" fillId="0" borderId="0" xfId="2" applyNumberFormat="1" applyFont="1" applyFill="1" applyAlignment="1">
      <alignment horizontal="center" wrapText="1"/>
    </xf>
    <xf numFmtId="0" fontId="1" fillId="0" borderId="0" xfId="2" applyFill="1"/>
    <xf numFmtId="0" fontId="12" fillId="0" borderId="0" xfId="2" applyFont="1" applyFill="1"/>
    <xf numFmtId="164" fontId="1" fillId="0" borderId="0" xfId="2" applyNumberFormat="1" applyFill="1"/>
    <xf numFmtId="164" fontId="12" fillId="0" borderId="0" xfId="2" applyNumberFormat="1" applyFont="1" applyFill="1"/>
    <xf numFmtId="165" fontId="1" fillId="0" borderId="0" xfId="2" applyNumberFormat="1" applyFill="1" applyAlignment="1">
      <alignment horizontal="right"/>
    </xf>
    <xf numFmtId="165" fontId="12" fillId="0" borderId="0" xfId="2" applyNumberFormat="1" applyFont="1" applyFill="1" applyAlignment="1">
      <alignment horizontal="right"/>
    </xf>
    <xf numFmtId="164" fontId="7" fillId="0" borderId="0" xfId="2" applyNumberFormat="1" applyFont="1" applyFill="1"/>
    <xf numFmtId="164" fontId="3" fillId="0" borderId="0" xfId="2" applyNumberFormat="1" applyFont="1" applyFill="1"/>
    <xf numFmtId="166" fontId="1" fillId="0" borderId="0" xfId="2" applyNumberFormat="1" applyFill="1"/>
    <xf numFmtId="166" fontId="12" fillId="0" borderId="0" xfId="2" applyNumberFormat="1" applyFont="1" applyFill="1"/>
    <xf numFmtId="0" fontId="10" fillId="0" borderId="0" xfId="2" applyFont="1" applyFill="1"/>
    <xf numFmtId="49" fontId="10" fillId="6" borderId="0" xfId="2" applyNumberFormat="1" applyFont="1" applyFill="1" applyAlignment="1">
      <alignment horizontal="center"/>
    </xf>
    <xf numFmtId="49" fontId="5" fillId="6" borderId="0" xfId="2" applyNumberFormat="1" applyFont="1" applyFill="1" applyAlignment="1">
      <alignment horizontal="center"/>
    </xf>
    <xf numFmtId="49" fontId="9" fillId="6" borderId="0" xfId="2" applyNumberFormat="1" applyFont="1" applyFill="1" applyAlignment="1">
      <alignment horizontal="center"/>
    </xf>
    <xf numFmtId="49" fontId="5" fillId="6" borderId="0" xfId="2" quotePrefix="1" applyNumberFormat="1" applyFont="1" applyFill="1" applyAlignment="1">
      <alignment horizontal="center" wrapText="1"/>
    </xf>
    <xf numFmtId="49" fontId="9" fillId="6" borderId="0" xfId="2" quotePrefix="1" applyNumberFormat="1" applyFont="1" applyFill="1" applyAlignment="1">
      <alignment horizontal="center" wrapText="1"/>
    </xf>
    <xf numFmtId="49" fontId="5" fillId="6" borderId="0" xfId="2" applyNumberFormat="1" applyFont="1" applyFill="1" applyAlignment="1">
      <alignment horizontal="center" wrapText="1"/>
    </xf>
    <xf numFmtId="49" fontId="9" fillId="6" borderId="0" xfId="2" applyNumberFormat="1" applyFont="1" applyFill="1" applyAlignment="1">
      <alignment horizontal="center" wrapText="1"/>
    </xf>
    <xf numFmtId="49" fontId="8" fillId="6" borderId="0" xfId="2" quotePrefix="1" applyNumberFormat="1" applyFont="1" applyFill="1" applyAlignment="1">
      <alignment horizontal="center" wrapText="1"/>
    </xf>
    <xf numFmtId="49" fontId="8" fillId="6" borderId="0" xfId="2" applyNumberFormat="1" applyFont="1" applyFill="1" applyAlignment="1">
      <alignment horizontal="center" wrapText="1"/>
    </xf>
    <xf numFmtId="0" fontId="1" fillId="6" borderId="0" xfId="2" applyFill="1"/>
    <xf numFmtId="0" fontId="12" fillId="6" borderId="0" xfId="2" applyFont="1" applyFill="1"/>
    <xf numFmtId="164" fontId="1" fillId="6" borderId="0" xfId="2" applyNumberFormat="1" applyFill="1"/>
    <xf numFmtId="164" fontId="12" fillId="6" borderId="0" xfId="2" applyNumberFormat="1" applyFont="1" applyFill="1"/>
    <xf numFmtId="165" fontId="1" fillId="6" borderId="0" xfId="2" applyNumberFormat="1" applyFill="1" applyAlignment="1">
      <alignment horizontal="right"/>
    </xf>
    <xf numFmtId="165" fontId="12" fillId="6" borderId="0" xfId="2" applyNumberFormat="1" applyFont="1" applyFill="1" applyAlignment="1">
      <alignment horizontal="right"/>
    </xf>
    <xf numFmtId="164" fontId="7" fillId="6" borderId="0" xfId="2" applyNumberFormat="1" applyFont="1" applyFill="1"/>
    <xf numFmtId="164" fontId="3" fillId="6" borderId="0" xfId="2" applyNumberFormat="1" applyFont="1" applyFill="1"/>
    <xf numFmtId="166" fontId="1" fillId="6" borderId="0" xfId="2" applyNumberFormat="1" applyFill="1"/>
    <xf numFmtId="166" fontId="12" fillId="6" borderId="0" xfId="2" applyNumberFormat="1" applyFont="1" applyFill="1"/>
    <xf numFmtId="0" fontId="10" fillId="6" borderId="0" xfId="2" applyFont="1" applyFill="1"/>
    <xf numFmtId="49" fontId="10" fillId="7" borderId="0" xfId="2" applyNumberFormat="1" applyFont="1" applyFill="1" applyAlignment="1">
      <alignment horizontal="center"/>
    </xf>
    <xf numFmtId="49" fontId="5" fillId="7" borderId="0" xfId="2" applyNumberFormat="1" applyFont="1" applyFill="1" applyAlignment="1">
      <alignment horizontal="center"/>
    </xf>
    <xf numFmtId="49" fontId="9" fillId="7" borderId="0" xfId="2" applyNumberFormat="1" applyFont="1" applyFill="1" applyAlignment="1">
      <alignment horizontal="center"/>
    </xf>
    <xf numFmtId="49" fontId="5" fillId="7" borderId="0" xfId="2" applyNumberFormat="1" applyFont="1" applyFill="1" applyAlignment="1">
      <alignment horizontal="center" wrapText="1"/>
    </xf>
    <xf numFmtId="49" fontId="9" fillId="7" borderId="0" xfId="2" applyNumberFormat="1" applyFont="1" applyFill="1" applyAlignment="1">
      <alignment horizontal="center" wrapText="1"/>
    </xf>
    <xf numFmtId="49" fontId="8" fillId="7" borderId="0" xfId="2" applyNumberFormat="1" applyFont="1" applyFill="1" applyAlignment="1">
      <alignment horizontal="center" wrapText="1"/>
    </xf>
    <xf numFmtId="0" fontId="1" fillId="7" borderId="0" xfId="2" applyFill="1"/>
    <xf numFmtId="0" fontId="12" fillId="7" borderId="0" xfId="2" applyFont="1" applyFill="1"/>
    <xf numFmtId="164" fontId="1" fillId="7" borderId="0" xfId="2" applyNumberFormat="1" applyFill="1"/>
    <xf numFmtId="164" fontId="12" fillId="7" borderId="0" xfId="2" applyNumberFormat="1" applyFont="1" applyFill="1"/>
    <xf numFmtId="165" fontId="1" fillId="7" borderId="0" xfId="2" applyNumberFormat="1" applyFill="1" applyAlignment="1">
      <alignment horizontal="right"/>
    </xf>
    <xf numFmtId="165" fontId="12" fillId="7" borderId="0" xfId="2" applyNumberFormat="1" applyFont="1" applyFill="1" applyAlignment="1">
      <alignment horizontal="right"/>
    </xf>
    <xf numFmtId="164" fontId="7" fillId="7" borderId="0" xfId="2" applyNumberFormat="1" applyFont="1" applyFill="1"/>
    <xf numFmtId="164" fontId="3" fillId="7" borderId="0" xfId="2" applyNumberFormat="1" applyFont="1" applyFill="1"/>
    <xf numFmtId="166" fontId="1" fillId="7" borderId="0" xfId="2" applyNumberFormat="1" applyFill="1"/>
    <xf numFmtId="166" fontId="12" fillId="7" borderId="0" xfId="2" applyNumberFormat="1" applyFont="1" applyFill="1"/>
    <xf numFmtId="0" fontId="10" fillId="7" borderId="0" xfId="2" applyFont="1" applyFill="1"/>
    <xf numFmtId="49" fontId="10" fillId="2" borderId="0" xfId="2" applyNumberFormat="1" applyFont="1" applyFill="1" applyAlignment="1">
      <alignment horizontal="center"/>
    </xf>
    <xf numFmtId="49" fontId="10" fillId="3" borderId="0" xfId="2" applyNumberFormat="1" applyFont="1" applyFill="1" applyAlignment="1">
      <alignment horizontal="center"/>
    </xf>
    <xf numFmtId="49" fontId="10" fillId="4" borderId="0" xfId="2" applyNumberFormat="1" applyFont="1" applyFill="1" applyAlignment="1">
      <alignment horizontal="center"/>
    </xf>
    <xf numFmtId="49" fontId="10" fillId="5" borderId="0" xfId="2" applyNumberFormat="1" applyFont="1" applyFill="1" applyAlignment="1">
      <alignment horizontal="center"/>
    </xf>
    <xf numFmtId="49" fontId="10" fillId="2" borderId="0" xfId="1" applyNumberFormat="1" applyFont="1" applyFill="1" applyAlignment="1">
      <alignment horizontal="center"/>
    </xf>
    <xf numFmtId="49" fontId="9" fillId="2" borderId="0" xfId="1" quotePrefix="1" applyNumberFormat="1" applyFont="1" applyFill="1" applyAlignment="1">
      <alignment horizontal="center" wrapText="1"/>
    </xf>
    <xf numFmtId="49" fontId="5" fillId="2" borderId="0" xfId="1" quotePrefix="1" applyNumberFormat="1" applyFont="1" applyFill="1" applyAlignment="1">
      <alignment horizontal="center"/>
    </xf>
    <xf numFmtId="49" fontId="9" fillId="2" borderId="0" xfId="1" quotePrefix="1" applyNumberFormat="1" applyFont="1" applyFill="1" applyAlignment="1">
      <alignment horizontal="center"/>
    </xf>
    <xf numFmtId="49" fontId="8" fillId="2" borderId="0" xfId="1" quotePrefix="1" applyNumberFormat="1" applyFont="1" applyFill="1" applyAlignment="1">
      <alignment horizontal="center"/>
    </xf>
    <xf numFmtId="0" fontId="4" fillId="2" borderId="0" xfId="1" applyFill="1"/>
    <xf numFmtId="0" fontId="12" fillId="2" borderId="0" xfId="1" applyFont="1" applyFill="1"/>
    <xf numFmtId="164" fontId="4" fillId="2" borderId="0" xfId="1" applyNumberFormat="1" applyFill="1"/>
    <xf numFmtId="164" fontId="1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4" fontId="7" fillId="2" borderId="0" xfId="1" applyNumberFormat="1" applyFont="1" applyFill="1"/>
    <xf numFmtId="164" fontId="3" fillId="2" borderId="0" xfId="1" applyNumberFormat="1" applyFont="1" applyFill="1"/>
    <xf numFmtId="0" fontId="10" fillId="2" borderId="0" xfId="1" applyFont="1" applyFill="1"/>
    <xf numFmtId="49" fontId="9" fillId="3" borderId="0" xfId="1" applyNumberFormat="1" applyFont="1" applyFill="1" applyAlignment="1">
      <alignment horizontal="center"/>
    </xf>
    <xf numFmtId="49" fontId="9" fillId="3" borderId="0" xfId="1" applyNumberFormat="1" applyFont="1" applyFill="1" applyAlignment="1">
      <alignment horizontal="center" wrapText="1"/>
    </xf>
    <xf numFmtId="49" fontId="5" fillId="3" borderId="0" xfId="1" quotePrefix="1" applyNumberFormat="1" applyFont="1" applyFill="1" applyAlignment="1">
      <alignment horizontal="center"/>
    </xf>
    <xf numFmtId="49" fontId="9" fillId="3" borderId="0" xfId="1" quotePrefix="1" applyNumberFormat="1" applyFont="1" applyFill="1" applyAlignment="1">
      <alignment horizontal="center"/>
    </xf>
    <xf numFmtId="49" fontId="8" fillId="3" borderId="0" xfId="1" quotePrefix="1" applyNumberFormat="1" applyFont="1" applyFill="1" applyAlignment="1">
      <alignment horizontal="center"/>
    </xf>
    <xf numFmtId="0" fontId="4" fillId="3" borderId="0" xfId="1" applyFill="1"/>
    <xf numFmtId="0" fontId="12" fillId="3" borderId="0" xfId="1" applyFont="1" applyFill="1"/>
    <xf numFmtId="164" fontId="4" fillId="3" borderId="0" xfId="1" applyNumberFormat="1" applyFill="1"/>
    <xf numFmtId="164" fontId="12" fillId="3" borderId="0" xfId="1" applyNumberFormat="1" applyFont="1" applyFill="1"/>
    <xf numFmtId="165" fontId="2" fillId="3" borderId="0" xfId="1" applyNumberFormat="1" applyFont="1" applyFill="1" applyAlignment="1">
      <alignment horizontal="right"/>
    </xf>
    <xf numFmtId="165" fontId="12" fillId="3" borderId="0" xfId="1" applyNumberFormat="1" applyFont="1" applyFill="1" applyAlignment="1">
      <alignment horizontal="right"/>
    </xf>
    <xf numFmtId="164" fontId="7" fillId="3" borderId="0" xfId="1" applyNumberFormat="1" applyFont="1" applyFill="1"/>
    <xf numFmtId="164" fontId="3" fillId="3" borderId="0" xfId="1" applyNumberFormat="1" applyFont="1" applyFill="1"/>
    <xf numFmtId="0" fontId="10" fillId="3" borderId="0" xfId="1" applyFont="1" applyFill="1"/>
    <xf numFmtId="49" fontId="9" fillId="4" borderId="0" xfId="1" applyNumberFormat="1" applyFont="1" applyFill="1" applyAlignment="1">
      <alignment horizontal="center"/>
    </xf>
    <xf numFmtId="49" fontId="9" fillId="4" borderId="0" xfId="1" applyNumberFormat="1" applyFont="1" applyFill="1" applyAlignment="1">
      <alignment horizontal="center" wrapText="1"/>
    </xf>
    <xf numFmtId="49" fontId="5" fillId="4" borderId="0" xfId="1" quotePrefix="1" applyNumberFormat="1" applyFont="1" applyFill="1" applyAlignment="1">
      <alignment horizontal="center"/>
    </xf>
    <xf numFmtId="49" fontId="9" fillId="4" borderId="0" xfId="1" quotePrefix="1" applyNumberFormat="1" applyFont="1" applyFill="1" applyAlignment="1">
      <alignment horizontal="center"/>
    </xf>
    <xf numFmtId="49" fontId="8" fillId="4" borderId="0" xfId="1" quotePrefix="1" applyNumberFormat="1" applyFont="1" applyFill="1" applyAlignment="1">
      <alignment horizontal="center"/>
    </xf>
    <xf numFmtId="0" fontId="4" fillId="4" borderId="0" xfId="1" applyFill="1"/>
    <xf numFmtId="0" fontId="12" fillId="4" borderId="0" xfId="1" applyFont="1" applyFill="1"/>
    <xf numFmtId="164" fontId="4" fillId="4" borderId="0" xfId="1" applyNumberFormat="1" applyFill="1"/>
    <xf numFmtId="164" fontId="12" fillId="4" borderId="0" xfId="1" applyNumberFormat="1" applyFont="1" applyFill="1"/>
    <xf numFmtId="165" fontId="2" fillId="4" borderId="0" xfId="1" applyNumberFormat="1" applyFont="1" applyFill="1" applyAlignment="1">
      <alignment horizontal="right"/>
    </xf>
    <xf numFmtId="165" fontId="12" fillId="4" borderId="0" xfId="1" applyNumberFormat="1" applyFont="1" applyFill="1" applyAlignment="1">
      <alignment horizontal="right"/>
    </xf>
    <xf numFmtId="164" fontId="7" fillId="4" borderId="0" xfId="1" applyNumberFormat="1" applyFont="1" applyFill="1"/>
    <xf numFmtId="164" fontId="3" fillId="4" borderId="0" xfId="1" applyNumberFormat="1" applyFont="1" applyFill="1"/>
    <xf numFmtId="0" fontId="10" fillId="4" borderId="0" xfId="1" applyFont="1" applyFill="1"/>
    <xf numFmtId="49" fontId="9" fillId="6" borderId="0" xfId="1" applyNumberFormat="1" applyFont="1" applyFill="1" applyAlignment="1">
      <alignment horizontal="center"/>
    </xf>
    <xf numFmtId="49" fontId="3" fillId="6" borderId="0" xfId="1" applyNumberFormat="1" applyFont="1" applyFill="1" applyAlignment="1">
      <alignment horizontal="center" wrapText="1"/>
    </xf>
    <xf numFmtId="49" fontId="9" fillId="6" borderId="0" xfId="1" applyNumberFormat="1" applyFont="1" applyFill="1" applyAlignment="1">
      <alignment horizontal="center" wrapText="1"/>
    </xf>
    <xf numFmtId="49" fontId="5" fillId="6" borderId="0" xfId="1" quotePrefix="1" applyNumberFormat="1" applyFont="1" applyFill="1" applyAlignment="1">
      <alignment horizontal="center"/>
    </xf>
    <xf numFmtId="49" fontId="9" fillId="6" borderId="0" xfId="1" quotePrefix="1" applyNumberFormat="1" applyFont="1" applyFill="1" applyAlignment="1">
      <alignment horizontal="center"/>
    </xf>
    <xf numFmtId="49" fontId="8" fillId="6" borderId="0" xfId="1" quotePrefix="1" applyNumberFormat="1" applyFont="1" applyFill="1" applyAlignment="1">
      <alignment horizontal="center"/>
    </xf>
    <xf numFmtId="0" fontId="4" fillId="6" borderId="0" xfId="1" applyFill="1"/>
    <xf numFmtId="0" fontId="12" fillId="6" borderId="0" xfId="1" applyFont="1" applyFill="1"/>
    <xf numFmtId="164" fontId="4" fillId="6" borderId="0" xfId="1" applyNumberFormat="1" applyFill="1"/>
    <xf numFmtId="164" fontId="12" fillId="6" borderId="0" xfId="1" applyNumberFormat="1" applyFont="1" applyFill="1"/>
    <xf numFmtId="165" fontId="2" fillId="6" borderId="0" xfId="1" applyNumberFormat="1" applyFont="1" applyFill="1" applyAlignment="1">
      <alignment horizontal="right"/>
    </xf>
    <xf numFmtId="165" fontId="12" fillId="6" borderId="0" xfId="1" applyNumberFormat="1" applyFont="1" applyFill="1" applyAlignment="1">
      <alignment horizontal="right"/>
    </xf>
    <xf numFmtId="164" fontId="7" fillId="6" borderId="0" xfId="1" applyNumberFormat="1" applyFont="1" applyFill="1"/>
    <xf numFmtId="164" fontId="3" fillId="6" borderId="0" xfId="1" applyNumberFormat="1" applyFont="1" applyFill="1"/>
    <xf numFmtId="0" fontId="10" fillId="6" borderId="0" xfId="1" applyFont="1" applyFill="1"/>
    <xf numFmtId="49" fontId="9" fillId="5" borderId="0" xfId="1" applyNumberFormat="1" applyFont="1" applyFill="1" applyAlignment="1">
      <alignment horizontal="center"/>
    </xf>
    <xf numFmtId="49" fontId="3" fillId="5" borderId="0" xfId="1" applyNumberFormat="1" applyFont="1" applyFill="1" applyAlignment="1">
      <alignment horizontal="center" wrapText="1"/>
    </xf>
    <xf numFmtId="49" fontId="9" fillId="5" borderId="0" xfId="1" applyNumberFormat="1" applyFont="1" applyFill="1" applyAlignment="1">
      <alignment horizontal="center" wrapText="1"/>
    </xf>
    <xf numFmtId="49" fontId="5" fillId="5" borderId="0" xfId="1" quotePrefix="1" applyNumberFormat="1" applyFont="1" applyFill="1" applyAlignment="1">
      <alignment horizontal="center"/>
    </xf>
    <xf numFmtId="49" fontId="9" fillId="5" borderId="0" xfId="1" quotePrefix="1" applyNumberFormat="1" applyFont="1" applyFill="1" applyAlignment="1">
      <alignment horizontal="center"/>
    </xf>
    <xf numFmtId="49" fontId="8" fillId="5" borderId="0" xfId="1" quotePrefix="1" applyNumberFormat="1" applyFont="1" applyFill="1" applyAlignment="1">
      <alignment horizontal="center"/>
    </xf>
    <xf numFmtId="0" fontId="4" fillId="5" borderId="0" xfId="1" applyFill="1"/>
    <xf numFmtId="0" fontId="12" fillId="5" borderId="0" xfId="1" applyFont="1" applyFill="1"/>
    <xf numFmtId="164" fontId="4" fillId="5" borderId="0" xfId="1" applyNumberFormat="1" applyFill="1"/>
    <xf numFmtId="164" fontId="12" fillId="5" borderId="0" xfId="1" applyNumberFormat="1" applyFont="1" applyFill="1"/>
    <xf numFmtId="165" fontId="2" fillId="5" borderId="0" xfId="1" applyNumberFormat="1" applyFont="1" applyFill="1" applyAlignment="1">
      <alignment horizontal="right"/>
    </xf>
    <xf numFmtId="165" fontId="12" fillId="5" borderId="0" xfId="1" applyNumberFormat="1" applyFont="1" applyFill="1" applyAlignment="1">
      <alignment horizontal="right"/>
    </xf>
    <xf numFmtId="164" fontId="7" fillId="5" borderId="0" xfId="1" applyNumberFormat="1" applyFont="1" applyFill="1"/>
    <xf numFmtId="164" fontId="3" fillId="5" borderId="0" xfId="1" applyNumberFormat="1" applyFont="1" applyFill="1"/>
    <xf numFmtId="0" fontId="10" fillId="5" borderId="0" xfId="1" applyFont="1" applyFill="1"/>
    <xf numFmtId="49" fontId="10" fillId="7" borderId="0" xfId="1" applyNumberFormat="1" applyFont="1" applyFill="1" applyAlignment="1">
      <alignment horizontal="center"/>
    </xf>
    <xf numFmtId="49" fontId="9" fillId="7" borderId="0" xfId="1" applyNumberFormat="1" applyFont="1" applyFill="1" applyAlignment="1">
      <alignment horizontal="center"/>
    </xf>
    <xf numFmtId="49" fontId="9" fillId="7" borderId="0" xfId="1" quotePrefix="1" applyNumberFormat="1" applyFont="1" applyFill="1" applyAlignment="1">
      <alignment horizontal="center" wrapText="1"/>
    </xf>
    <xf numFmtId="49" fontId="9" fillId="7" borderId="0" xfId="1" applyNumberFormat="1" applyFont="1" applyFill="1" applyAlignment="1">
      <alignment horizontal="center" wrapText="1"/>
    </xf>
    <xf numFmtId="49" fontId="5" fillId="7" borderId="0" xfId="1" quotePrefix="1" applyNumberFormat="1" applyFont="1" applyFill="1" applyAlignment="1">
      <alignment horizontal="center"/>
    </xf>
    <xf numFmtId="49" fontId="9" fillId="7" borderId="0" xfId="1" quotePrefix="1" applyNumberFormat="1" applyFont="1" applyFill="1" applyAlignment="1">
      <alignment horizontal="center"/>
    </xf>
    <xf numFmtId="49" fontId="8" fillId="7" borderId="0" xfId="1" quotePrefix="1" applyNumberFormat="1" applyFont="1" applyFill="1" applyAlignment="1">
      <alignment horizontal="center"/>
    </xf>
    <xf numFmtId="0" fontId="4" fillId="7" borderId="0" xfId="1" applyFill="1"/>
    <xf numFmtId="0" fontId="12" fillId="7" borderId="0" xfId="1" applyFont="1" applyFill="1"/>
    <xf numFmtId="164" fontId="4" fillId="7" borderId="0" xfId="1" applyNumberFormat="1" applyFill="1"/>
    <xf numFmtId="164" fontId="12" fillId="7" borderId="0" xfId="1" applyNumberFormat="1" applyFont="1" applyFill="1"/>
    <xf numFmtId="165" fontId="2" fillId="7" borderId="0" xfId="1" applyNumberFormat="1" applyFont="1" applyFill="1" applyAlignment="1">
      <alignment horizontal="right"/>
    </xf>
    <xf numFmtId="165" fontId="12" fillId="7" borderId="0" xfId="1" applyNumberFormat="1" applyFont="1" applyFill="1" applyAlignment="1">
      <alignment horizontal="right"/>
    </xf>
    <xf numFmtId="164" fontId="7" fillId="7" borderId="0" xfId="1" applyNumberFormat="1" applyFont="1" applyFill="1"/>
    <xf numFmtId="164" fontId="3" fillId="7" borderId="0" xfId="1" applyNumberFormat="1" applyFont="1" applyFill="1"/>
    <xf numFmtId="0" fontId="10" fillId="7" borderId="0" xfId="1" applyFont="1" applyFill="1"/>
    <xf numFmtId="49" fontId="9" fillId="2" borderId="0" xfId="1" applyNumberFormat="1" applyFont="1" applyFill="1" applyAlignment="1">
      <alignment horizontal="center"/>
    </xf>
    <xf numFmtId="49" fontId="9" fillId="2" borderId="0" xfId="1" applyNumberFormat="1" applyFont="1" applyFill="1" applyAlignment="1">
      <alignment horizontal="center" wrapText="1"/>
    </xf>
    <xf numFmtId="49" fontId="10" fillId="3" borderId="0" xfId="1" applyNumberFormat="1" applyFont="1" applyFill="1" applyAlignment="1">
      <alignment horizontal="center"/>
    </xf>
    <xf numFmtId="49" fontId="10" fillId="4" borderId="0" xfId="1" applyNumberFormat="1" applyFont="1" applyFill="1" applyAlignment="1">
      <alignment horizontal="center"/>
    </xf>
    <xf numFmtId="49" fontId="10" fillId="5" borderId="0" xfId="1" applyNumberFormat="1" applyFont="1" applyFill="1" applyAlignment="1">
      <alignment horizontal="center"/>
    </xf>
    <xf numFmtId="49" fontId="10" fillId="6" borderId="0" xfId="1" applyNumberFormat="1" applyFont="1" applyFill="1" applyAlignment="1">
      <alignment horizontal="center"/>
    </xf>
    <xf numFmtId="49" fontId="3" fillId="0" borderId="0" xfId="3" applyNumberFormat="1" applyFill="1"/>
    <xf numFmtId="49" fontId="3" fillId="0" borderId="0" xfId="3" applyNumberFormat="1" applyFill="1" applyAlignment="1">
      <alignment horizontal="left" indent="1"/>
    </xf>
    <xf numFmtId="49" fontId="5" fillId="7" borderId="0" xfId="2" applyNumberFormat="1" applyFont="1" applyFill="1" applyAlignment="1">
      <alignment horizontal="center"/>
    </xf>
    <xf numFmtId="49" fontId="5" fillId="0" borderId="0" xfId="2" applyNumberFormat="1" applyFont="1" applyAlignment="1">
      <alignment horizontal="center"/>
    </xf>
    <xf numFmtId="49" fontId="5" fillId="2" borderId="0" xfId="2" applyNumberFormat="1" applyFont="1" applyFill="1" applyAlignment="1">
      <alignment horizontal="center"/>
    </xf>
    <xf numFmtId="49" fontId="11" fillId="0" borderId="0" xfId="1" applyNumberFormat="1" applyFont="1" applyAlignment="1">
      <alignment horizontal="left" vertical="top" wrapText="1"/>
    </xf>
    <xf numFmtId="49" fontId="5" fillId="3" borderId="0" xfId="2" applyNumberFormat="1" applyFont="1" applyFill="1" applyAlignment="1">
      <alignment horizontal="center"/>
    </xf>
    <xf numFmtId="49" fontId="5" fillId="4" borderId="0" xfId="2" applyNumberFormat="1" applyFont="1" applyFill="1" applyAlignment="1">
      <alignment horizontal="center"/>
    </xf>
    <xf numFmtId="49" fontId="5" fillId="5" borderId="0" xfId="2" applyNumberFormat="1" applyFont="1" applyFill="1" applyAlignment="1">
      <alignment horizontal="center"/>
    </xf>
    <xf numFmtId="49" fontId="5" fillId="6" borderId="0" xfId="2" applyNumberFormat="1" applyFont="1" applyFill="1" applyAlignment="1">
      <alignment horizontal="center"/>
    </xf>
    <xf numFmtId="49" fontId="1" fillId="2" borderId="0" xfId="2" applyNumberForma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49" fontId="1" fillId="0" borderId="0" xfId="2" applyNumberFormat="1" applyAlignment="1">
      <alignment horizontal="center"/>
    </xf>
    <xf numFmtId="49" fontId="1" fillId="6" borderId="0" xfId="2" applyNumberFormat="1" applyFill="1" applyAlignment="1">
      <alignment horizontal="center"/>
    </xf>
    <xf numFmtId="49" fontId="1" fillId="7" borderId="0" xfId="2" applyNumberFormat="1" applyFill="1" applyAlignment="1">
      <alignment horizontal="center"/>
    </xf>
    <xf numFmtId="49" fontId="1" fillId="3" borderId="0" xfId="2" applyNumberFormat="1" applyFill="1" applyAlignment="1">
      <alignment horizontal="center"/>
    </xf>
    <xf numFmtId="49" fontId="1" fillId="4" borderId="0" xfId="2" applyNumberFormat="1" applyFill="1" applyAlignment="1">
      <alignment horizontal="center"/>
    </xf>
    <xf numFmtId="49" fontId="1" fillId="5" borderId="0" xfId="2" applyNumberFormat="1" applyFill="1" applyAlignment="1">
      <alignment horizontal="center"/>
    </xf>
    <xf numFmtId="49" fontId="3" fillId="0" borderId="0" xfId="2" applyNumberFormat="1" applyFont="1" applyAlignment="1">
      <alignment horizontal="center"/>
    </xf>
    <xf numFmtId="49" fontId="3" fillId="2" borderId="0" xfId="2" applyNumberFormat="1" applyFont="1" applyFill="1" applyAlignment="1">
      <alignment horizontal="center"/>
    </xf>
    <xf numFmtId="49" fontId="3" fillId="3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49" fontId="5" fillId="6" borderId="0" xfId="1" applyNumberFormat="1" applyFont="1" applyFill="1" applyAlignment="1">
      <alignment horizontal="center" wrapText="1"/>
    </xf>
    <xf numFmtId="49" fontId="5" fillId="7" borderId="0" xfId="1" applyNumberFormat="1" applyFont="1" applyFill="1" applyAlignment="1">
      <alignment horizontal="center" wrapText="1"/>
    </xf>
    <xf numFmtId="49" fontId="5" fillId="2" borderId="0" xfId="1" applyNumberFormat="1" applyFont="1" applyFill="1" applyAlignment="1">
      <alignment horizontal="center" wrapText="1"/>
    </xf>
    <xf numFmtId="49" fontId="5" fillId="2" borderId="0" xfId="1" quotePrefix="1" applyNumberFormat="1" applyFont="1" applyFill="1" applyAlignment="1">
      <alignment horizontal="center" wrapText="1"/>
    </xf>
    <xf numFmtId="49" fontId="5" fillId="7" borderId="0" xfId="1" quotePrefix="1" applyNumberFormat="1" applyFont="1" applyFill="1" applyAlignment="1">
      <alignment horizontal="center" wrapText="1"/>
    </xf>
    <xf numFmtId="49" fontId="5" fillId="3" borderId="0" xfId="1" applyNumberFormat="1" applyFont="1" applyFill="1" applyAlignment="1">
      <alignment horizontal="center" wrapText="1"/>
    </xf>
    <xf numFmtId="49" fontId="5" fillId="5" borderId="0" xfId="1" applyNumberFormat="1" applyFont="1" applyFill="1" applyAlignment="1">
      <alignment horizontal="center"/>
    </xf>
    <xf numFmtId="49" fontId="5" fillId="4" borderId="0" xfId="1" applyNumberFormat="1" applyFont="1" applyFill="1" applyAlignment="1">
      <alignment horizontal="center" wrapText="1"/>
    </xf>
    <xf numFmtId="49" fontId="5" fillId="5" borderId="0" xfId="1" applyNumberFormat="1" applyFont="1" applyFill="1" applyAlignment="1">
      <alignment horizontal="center" wrapText="1"/>
    </xf>
    <xf numFmtId="49" fontId="5" fillId="7" borderId="0" xfId="1" applyNumberFormat="1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49" fontId="4" fillId="6" borderId="0" xfId="1" applyNumberFormat="1" applyFill="1" applyAlignment="1">
      <alignment horizontal="center"/>
    </xf>
    <xf numFmtId="49" fontId="4" fillId="7" borderId="0" xfId="1" applyNumberFormat="1" applyFill="1" applyAlignment="1">
      <alignment horizontal="center"/>
    </xf>
    <xf numFmtId="49" fontId="5" fillId="6" borderId="0" xfId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center"/>
    </xf>
    <xf numFmtId="49" fontId="4" fillId="3" borderId="0" xfId="1" applyNumberFormat="1" applyFill="1" applyAlignment="1">
      <alignment horizontal="center"/>
    </xf>
    <xf numFmtId="49" fontId="4" fillId="4" borderId="0" xfId="1" applyNumberFormat="1" applyFill="1" applyAlignment="1">
      <alignment horizontal="center"/>
    </xf>
    <xf numFmtId="49" fontId="5" fillId="4" borderId="0" xfId="1" applyNumberFormat="1" applyFont="1" applyFill="1" applyAlignment="1">
      <alignment horizontal="center"/>
    </xf>
    <xf numFmtId="49" fontId="4" fillId="2" borderId="0" xfId="1" applyNumberFormat="1" applyFill="1" applyAlignment="1">
      <alignment horizontal="center"/>
    </xf>
    <xf numFmtId="49" fontId="3" fillId="3" borderId="0" xfId="1" applyNumberFormat="1" applyFont="1" applyFill="1" applyAlignment="1">
      <alignment horizontal="center"/>
    </xf>
    <xf numFmtId="49" fontId="3" fillId="4" borderId="0" xfId="1" applyNumberFormat="1" applyFont="1" applyFill="1" applyAlignment="1">
      <alignment horizontal="center"/>
    </xf>
    <xf numFmtId="49" fontId="4" fillId="5" borderId="0" xfId="1" applyNumberForma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DCD68F51-71D0-41FD-B434-D645FF215DDD}"/>
    <cellStyle name="Normal 3" xfId="3" xr:uid="{C6F13FFA-544B-4203-B90C-71DB131547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A742-5D72-46BF-BCD5-6F2778006C91}">
  <sheetPr codeName="Sheet6">
    <outlinePr summaryBelow="0" summaryRight="0"/>
    <pageSetUpPr fitToPage="1"/>
  </sheetPr>
  <dimension ref="A1:DG256"/>
  <sheetViews>
    <sheetView zoomScaleNormal="100" workbookViewId="0">
      <pane xSplit="3" ySplit="6" topLeftCell="CW7" activePane="bottomRight" state="frozenSplit"/>
      <selection pane="topRight" activeCell="F1" sqref="F1"/>
      <selection pane="bottomLeft" activeCell="A6" sqref="A6"/>
      <selection pane="bottomRight" activeCell="DP5" sqref="DP5"/>
    </sheetView>
  </sheetViews>
  <sheetFormatPr baseColWidth="10" defaultColWidth="7.6640625" defaultRowHeight="15" outlineLevelRow="1" x14ac:dyDescent="0.2"/>
  <cols>
    <col min="1" max="1" width="7" style="23" bestFit="1" customWidth="1"/>
    <col min="2" max="2" width="32.6640625" style="23" bestFit="1" customWidth="1"/>
    <col min="3" max="3" width="6.6640625" style="26" customWidth="1"/>
    <col min="4" max="4" width="6.6640625" style="65" customWidth="1"/>
    <col min="5" max="5" width="2" style="75" bestFit="1" customWidth="1"/>
    <col min="6" max="6" width="6.6640625" style="65" customWidth="1"/>
    <col min="7" max="7" width="2" style="75" bestFit="1" customWidth="1"/>
    <col min="8" max="8" width="6.6640625" style="81" customWidth="1"/>
    <col min="9" max="9" width="2" style="91" bestFit="1" customWidth="1"/>
    <col min="10" max="10" width="6.6640625" style="81" customWidth="1"/>
    <col min="11" max="11" width="2" style="91" bestFit="1" customWidth="1"/>
    <col min="12" max="12" width="6.6640625" style="129" hidden="1" customWidth="1"/>
    <col min="13" max="13" width="2" style="139" hidden="1" customWidth="1"/>
    <col min="14" max="14" width="6.6640625" style="129" hidden="1" customWidth="1"/>
    <col min="15" max="15" width="2" style="139" hidden="1" customWidth="1"/>
    <col min="16" max="16" width="6.6640625" style="97" customWidth="1"/>
    <col min="17" max="17" width="3" style="107" bestFit="1" customWidth="1"/>
    <col min="18" max="18" width="6.6640625" style="97" customWidth="1"/>
    <col min="19" max="19" width="3" style="107" bestFit="1" customWidth="1"/>
    <col min="20" max="20" width="6.6640625" style="97" customWidth="1"/>
    <col min="21" max="21" width="3" style="107" bestFit="1" customWidth="1"/>
    <col min="22" max="22" width="6.6640625" style="113" customWidth="1"/>
    <col min="23" max="23" width="3" style="123" bestFit="1" customWidth="1"/>
    <col min="24" max="24" width="6.6640625" style="113" customWidth="1"/>
    <col min="25" max="25" width="3" style="123" bestFit="1" customWidth="1"/>
    <col min="26" max="26" width="6.6640625" style="113" customWidth="1"/>
    <col min="27" max="27" width="3" style="123" bestFit="1" customWidth="1"/>
    <col min="28" max="28" width="6.6640625" style="149" customWidth="1"/>
    <col min="29" max="29" width="4" style="159" bestFit="1" customWidth="1"/>
    <col min="30" max="30" width="6.6640625" style="149" customWidth="1"/>
    <col min="31" max="31" width="4" style="159" bestFit="1" customWidth="1"/>
    <col min="32" max="32" width="6.6640625" style="149" customWidth="1"/>
    <col min="33" max="33" width="4" style="159" bestFit="1" customWidth="1"/>
    <col min="34" max="34" width="6.6640625" style="149" customWidth="1"/>
    <col min="35" max="35" width="4" style="159" bestFit="1" customWidth="1"/>
    <col min="36" max="36" width="6.6640625" style="166" customWidth="1"/>
    <col min="37" max="37" width="2" style="176" bestFit="1" customWidth="1"/>
    <col min="38" max="38" width="6.6640625" style="166" customWidth="1"/>
    <col min="39" max="39" width="2" style="176" bestFit="1" customWidth="1"/>
    <col min="40" max="40" width="6.6640625" style="26" hidden="1" customWidth="1"/>
    <col min="41" max="41" width="4" style="58" hidden="1" customWidth="1"/>
    <col min="42" max="42" width="6.6640625" style="26" hidden="1" customWidth="1"/>
    <col min="43" max="43" width="4" style="58" hidden="1" customWidth="1"/>
    <col min="44" max="44" width="6.6640625" style="26" hidden="1" customWidth="1"/>
    <col min="45" max="45" width="4" style="58" hidden="1" customWidth="1"/>
    <col min="46" max="46" width="6.6640625" style="26" hidden="1" customWidth="1"/>
    <col min="47" max="47" width="4" style="58" hidden="1" customWidth="1"/>
    <col min="48" max="48" width="6.6640625" style="26" hidden="1" customWidth="1"/>
    <col min="49" max="49" width="6" style="58" hidden="1" customWidth="1"/>
    <col min="50" max="50" width="6.6640625" style="26" hidden="1" customWidth="1"/>
    <col min="51" max="51" width="6" style="58" hidden="1" customWidth="1"/>
    <col min="52" max="52" width="6.6640625" style="26" hidden="1" customWidth="1"/>
    <col min="53" max="53" width="5" style="58" hidden="1" customWidth="1"/>
    <col min="54" max="54" width="6.6640625" style="26" hidden="1" customWidth="1"/>
    <col min="55" max="55" width="5" style="58" hidden="1" customWidth="1"/>
    <col min="56" max="56" width="6.6640625" style="65" customWidth="1"/>
    <col min="57" max="57" width="7" style="75" bestFit="1" customWidth="1"/>
    <col min="58" max="58" width="6.6640625" style="65" customWidth="1"/>
    <col min="59" max="59" width="7" style="75" bestFit="1" customWidth="1"/>
    <col min="60" max="60" width="6.6640625" style="65" customWidth="1"/>
    <col min="61" max="61" width="7" style="75" bestFit="1" customWidth="1"/>
    <col min="62" max="62" width="6.6640625" style="65" customWidth="1"/>
    <col min="63" max="63" width="7" style="75" bestFit="1" customWidth="1"/>
    <col min="64" max="64" width="6.6640625" style="81" customWidth="1"/>
    <col min="65" max="65" width="3" style="91" bestFit="1" customWidth="1"/>
    <col min="66" max="66" width="6.6640625" style="81" customWidth="1"/>
    <col min="67" max="67" width="3" style="91" bestFit="1" customWidth="1"/>
    <col min="68" max="68" width="6.6640625" style="97" customWidth="1"/>
    <col min="69" max="69" width="3" style="107" bestFit="1" customWidth="1"/>
    <col min="70" max="70" width="6.6640625" style="97" customWidth="1"/>
    <col min="71" max="71" width="3" style="107" bestFit="1" customWidth="1"/>
    <col min="72" max="72" width="6.6640625" style="113" customWidth="1"/>
    <col min="73" max="73" width="3" style="123" bestFit="1" customWidth="1"/>
    <col min="74" max="74" width="6.6640625" style="113" customWidth="1"/>
    <col min="75" max="75" width="3" style="123" bestFit="1" customWidth="1"/>
    <col min="76" max="76" width="6.6640625" style="26" hidden="1" customWidth="1"/>
    <col min="77" max="77" width="5" style="58" hidden="1" customWidth="1"/>
    <col min="78" max="78" width="6.6640625" style="26" hidden="1" customWidth="1"/>
    <col min="79" max="79" width="5" style="58" hidden="1" customWidth="1"/>
    <col min="80" max="80" width="6.6640625" style="26" hidden="1" customWidth="1"/>
    <col min="81" max="81" width="5" style="58" hidden="1" customWidth="1"/>
    <col min="82" max="82" width="6.6640625" style="26" hidden="1" customWidth="1"/>
    <col min="83" max="83" width="3" style="58" hidden="1" customWidth="1"/>
    <col min="84" max="84" width="6.6640625" style="26" hidden="1" customWidth="1"/>
    <col min="85" max="85" width="3" style="58" hidden="1" customWidth="1"/>
    <col min="86" max="86" width="6.6640625" style="26" hidden="1" customWidth="1"/>
    <col min="87" max="87" width="3" style="58" hidden="1" customWidth="1"/>
    <col min="88" max="88" width="6.6640625" style="26" hidden="1" customWidth="1"/>
    <col min="89" max="89" width="3" style="58" hidden="1" customWidth="1"/>
    <col min="90" max="90" width="6.6640625" style="149" customWidth="1"/>
    <col min="91" max="91" width="5" style="159" bestFit="1" customWidth="1"/>
    <col min="92" max="92" width="6.6640625" style="149" customWidth="1"/>
    <col min="93" max="93" width="5" style="159" bestFit="1" customWidth="1"/>
    <col min="94" max="94" width="6.6640625" style="149" customWidth="1"/>
    <col min="95" max="95" width="5" style="159" bestFit="1" customWidth="1"/>
    <col min="96" max="96" width="6.6640625" style="166" customWidth="1"/>
    <col min="97" max="97" width="5" style="176" bestFit="1" customWidth="1"/>
    <col min="98" max="98" width="6.6640625" style="166" customWidth="1"/>
    <col min="99" max="99" width="5" style="176" bestFit="1" customWidth="1"/>
    <col min="100" max="100" width="6.6640625" style="166" customWidth="1"/>
    <col min="101" max="101" width="5" style="176" bestFit="1" customWidth="1"/>
    <col min="102" max="102" width="6.6640625" style="26" hidden="1" customWidth="1"/>
    <col min="103" max="103" width="3" style="58" hidden="1" customWidth="1"/>
    <col min="104" max="104" width="6.6640625" style="26" hidden="1" customWidth="1"/>
    <col min="105" max="105" width="3" style="58" hidden="1" customWidth="1"/>
    <col min="106" max="106" width="6.6640625" style="65" customWidth="1"/>
    <col min="107" max="107" width="5" style="75" bestFit="1" customWidth="1"/>
    <col min="108" max="108" width="6.6640625" style="65" customWidth="1"/>
    <col min="109" max="109" width="5" style="75" bestFit="1" customWidth="1"/>
    <col min="110" max="110" width="6.6640625" style="65" customWidth="1"/>
    <col min="111" max="111" width="5" style="75" bestFit="1" customWidth="1"/>
    <col min="112" max="16384" width="7.6640625" style="26"/>
  </cols>
  <sheetData>
    <row r="1" spans="1:111" ht="17" x14ac:dyDescent="0.3">
      <c r="A1" s="22" t="s">
        <v>263</v>
      </c>
      <c r="B1" s="24"/>
      <c r="C1" s="25"/>
      <c r="D1" s="294"/>
      <c r="E1" s="294"/>
      <c r="F1" s="294"/>
      <c r="G1" s="60"/>
      <c r="H1" s="295"/>
      <c r="I1" s="295"/>
      <c r="J1" s="295"/>
      <c r="K1" s="76"/>
      <c r="L1" s="296"/>
      <c r="M1" s="296"/>
      <c r="N1" s="296"/>
      <c r="O1" s="124"/>
      <c r="P1" s="282" t="s">
        <v>0</v>
      </c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92"/>
      <c r="AB1" s="288"/>
      <c r="AC1" s="288"/>
      <c r="AD1" s="288"/>
      <c r="AE1" s="288"/>
      <c r="AF1" s="288"/>
      <c r="AG1" s="288"/>
      <c r="AH1" s="288"/>
      <c r="AI1" s="140"/>
      <c r="AJ1" s="289"/>
      <c r="AK1" s="289"/>
      <c r="AL1" s="289"/>
      <c r="AM1" s="160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44"/>
      <c r="BD1" s="285"/>
      <c r="BE1" s="285"/>
      <c r="BF1" s="285"/>
      <c r="BG1" s="285"/>
      <c r="BH1" s="285"/>
      <c r="BI1" s="285"/>
      <c r="BJ1" s="285"/>
      <c r="BK1" s="177"/>
      <c r="BL1" s="290"/>
      <c r="BM1" s="290"/>
      <c r="BN1" s="290"/>
      <c r="BO1" s="178"/>
      <c r="BP1" s="291"/>
      <c r="BQ1" s="291"/>
      <c r="BR1" s="291"/>
      <c r="BS1" s="179"/>
      <c r="BT1" s="292"/>
      <c r="BU1" s="292"/>
      <c r="BV1" s="292"/>
      <c r="BW1" s="180"/>
      <c r="BX1" s="287"/>
      <c r="BY1" s="287"/>
      <c r="BZ1" s="287"/>
      <c r="CA1" s="287"/>
      <c r="CB1" s="287"/>
      <c r="CC1" s="43"/>
      <c r="CD1" s="287"/>
      <c r="CE1" s="287"/>
      <c r="CF1" s="287"/>
      <c r="CG1" s="43"/>
      <c r="CH1" s="287"/>
      <c r="CI1" s="287"/>
      <c r="CJ1" s="287"/>
      <c r="CK1" s="43"/>
      <c r="CL1" s="288"/>
      <c r="CM1" s="288"/>
      <c r="CN1" s="288"/>
      <c r="CO1" s="288"/>
      <c r="CP1" s="288"/>
      <c r="CQ1" s="140"/>
      <c r="CR1" s="289"/>
      <c r="CS1" s="289"/>
      <c r="CT1" s="289"/>
      <c r="CU1" s="289"/>
      <c r="CV1" s="289"/>
      <c r="CW1" s="160"/>
      <c r="CX1" s="287"/>
      <c r="CY1" s="287"/>
      <c r="CZ1" s="287"/>
      <c r="DA1" s="43"/>
      <c r="DB1" s="285"/>
      <c r="DC1" s="285"/>
      <c r="DD1" s="285"/>
      <c r="DE1" s="285"/>
      <c r="DF1" s="285"/>
      <c r="DG1" s="177"/>
    </row>
    <row r="2" spans="1:111" ht="17" x14ac:dyDescent="0.3">
      <c r="A2" s="22" t="s">
        <v>264</v>
      </c>
      <c r="B2" s="24"/>
      <c r="C2" s="25"/>
      <c r="D2" s="294"/>
      <c r="E2" s="294"/>
      <c r="F2" s="294"/>
      <c r="G2" s="60"/>
      <c r="H2" s="295"/>
      <c r="I2" s="295"/>
      <c r="J2" s="295"/>
      <c r="K2" s="76"/>
      <c r="L2" s="296"/>
      <c r="M2" s="296"/>
      <c r="N2" s="296"/>
      <c r="O2" s="124"/>
      <c r="P2" s="282" t="s">
        <v>1</v>
      </c>
      <c r="Q2" s="282"/>
      <c r="R2" s="282"/>
      <c r="S2" s="282"/>
      <c r="T2" s="282"/>
      <c r="U2" s="92"/>
      <c r="V2" s="283" t="s">
        <v>2</v>
      </c>
      <c r="W2" s="283"/>
      <c r="X2" s="283"/>
      <c r="Y2" s="283"/>
      <c r="Z2" s="283"/>
      <c r="AA2" s="109"/>
      <c r="AB2" s="288"/>
      <c r="AC2" s="288"/>
      <c r="AD2" s="288"/>
      <c r="AE2" s="288"/>
      <c r="AF2" s="288"/>
      <c r="AG2" s="288"/>
      <c r="AH2" s="288"/>
      <c r="AI2" s="140"/>
      <c r="AJ2" s="289"/>
      <c r="AK2" s="289"/>
      <c r="AL2" s="289"/>
      <c r="AM2" s="160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44"/>
      <c r="BD2" s="285"/>
      <c r="BE2" s="285"/>
      <c r="BF2" s="285"/>
      <c r="BG2" s="285"/>
      <c r="BH2" s="285"/>
      <c r="BI2" s="285"/>
      <c r="BJ2" s="285"/>
      <c r="BK2" s="177"/>
      <c r="BL2" s="290"/>
      <c r="BM2" s="290"/>
      <c r="BN2" s="290"/>
      <c r="BO2" s="178"/>
      <c r="BP2" s="291"/>
      <c r="BQ2" s="291"/>
      <c r="BR2" s="291"/>
      <c r="BS2" s="179"/>
      <c r="BT2" s="292"/>
      <c r="BU2" s="292"/>
      <c r="BV2" s="292"/>
      <c r="BW2" s="180"/>
      <c r="BX2" s="287"/>
      <c r="BY2" s="287"/>
      <c r="BZ2" s="287"/>
      <c r="CA2" s="287"/>
      <c r="CB2" s="287"/>
      <c r="CC2" s="43"/>
      <c r="CD2" s="287"/>
      <c r="CE2" s="287"/>
      <c r="CF2" s="287"/>
      <c r="CG2" s="43"/>
      <c r="CH2" s="287"/>
      <c r="CI2" s="287"/>
      <c r="CJ2" s="287"/>
      <c r="CK2" s="43"/>
      <c r="CL2" s="288"/>
      <c r="CM2" s="288"/>
      <c r="CN2" s="288"/>
      <c r="CO2" s="288"/>
      <c r="CP2" s="288"/>
      <c r="CQ2" s="140"/>
      <c r="CR2" s="289"/>
      <c r="CS2" s="289"/>
      <c r="CT2" s="289"/>
      <c r="CU2" s="289"/>
      <c r="CV2" s="289"/>
      <c r="CW2" s="160"/>
      <c r="CX2" s="287"/>
      <c r="CY2" s="287"/>
      <c r="CZ2" s="287"/>
      <c r="DA2" s="43"/>
      <c r="DB2" s="285"/>
      <c r="DC2" s="285"/>
      <c r="DD2" s="285"/>
      <c r="DE2" s="285"/>
      <c r="DF2" s="285"/>
      <c r="DG2" s="177"/>
    </row>
    <row r="3" spans="1:111" ht="31.5" customHeight="1" x14ac:dyDescent="0.3">
      <c r="A3" s="280" t="s">
        <v>265</v>
      </c>
      <c r="B3" s="280"/>
      <c r="C3" s="25"/>
      <c r="D3" s="279" t="s">
        <v>4</v>
      </c>
      <c r="E3" s="279"/>
      <c r="F3" s="279"/>
      <c r="G3" s="60"/>
      <c r="H3" s="281" t="s">
        <v>5</v>
      </c>
      <c r="I3" s="281"/>
      <c r="J3" s="281"/>
      <c r="K3" s="76"/>
      <c r="L3" s="286"/>
      <c r="M3" s="286"/>
      <c r="N3" s="286"/>
      <c r="O3" s="124"/>
      <c r="P3" s="282" t="s">
        <v>7</v>
      </c>
      <c r="Q3" s="282"/>
      <c r="R3" s="282"/>
      <c r="S3" s="282"/>
      <c r="T3" s="282"/>
      <c r="U3" s="92"/>
      <c r="V3" s="283" t="s">
        <v>7</v>
      </c>
      <c r="W3" s="283"/>
      <c r="X3" s="283"/>
      <c r="Y3" s="283"/>
      <c r="Z3" s="283"/>
      <c r="AA3" s="109"/>
      <c r="AB3" s="284" t="s">
        <v>3</v>
      </c>
      <c r="AC3" s="284"/>
      <c r="AD3" s="284"/>
      <c r="AE3" s="284"/>
      <c r="AF3" s="284"/>
      <c r="AG3" s="284"/>
      <c r="AH3" s="284"/>
      <c r="AI3" s="142"/>
      <c r="AJ3" s="277" t="s">
        <v>10</v>
      </c>
      <c r="AK3" s="277"/>
      <c r="AL3" s="277"/>
      <c r="AM3" s="162"/>
      <c r="AN3" s="278"/>
      <c r="AO3" s="278"/>
      <c r="AP3" s="278"/>
      <c r="AQ3" s="278"/>
      <c r="AR3" s="278"/>
      <c r="AS3" s="278"/>
      <c r="AT3" s="278"/>
      <c r="AU3" s="44"/>
      <c r="AV3" s="278"/>
      <c r="AW3" s="278"/>
      <c r="AX3" s="278"/>
      <c r="AY3" s="278"/>
      <c r="AZ3" s="278"/>
      <c r="BA3" s="278"/>
      <c r="BB3" s="278"/>
      <c r="BC3" s="44"/>
      <c r="BD3" s="279" t="s">
        <v>13</v>
      </c>
      <c r="BE3" s="279"/>
      <c r="BF3" s="279"/>
      <c r="BG3" s="279"/>
      <c r="BH3" s="279"/>
      <c r="BI3" s="279"/>
      <c r="BJ3" s="279"/>
      <c r="BK3" s="60"/>
      <c r="BL3" s="281" t="s">
        <v>14</v>
      </c>
      <c r="BM3" s="281"/>
      <c r="BN3" s="281"/>
      <c r="BO3" s="76"/>
      <c r="BP3" s="282" t="s">
        <v>15</v>
      </c>
      <c r="BQ3" s="282"/>
      <c r="BR3" s="282"/>
      <c r="BS3" s="92"/>
      <c r="BT3" s="283" t="s">
        <v>16</v>
      </c>
      <c r="BU3" s="283"/>
      <c r="BV3" s="283"/>
      <c r="BW3" s="109"/>
      <c r="BX3" s="278"/>
      <c r="BY3" s="278"/>
      <c r="BZ3" s="278"/>
      <c r="CA3" s="278"/>
      <c r="CB3" s="278"/>
      <c r="CC3" s="44"/>
      <c r="CD3" s="278"/>
      <c r="CE3" s="278"/>
      <c r="CF3" s="278"/>
      <c r="CG3" s="44"/>
      <c r="CH3" s="278"/>
      <c r="CI3" s="278"/>
      <c r="CJ3" s="278"/>
      <c r="CK3" s="44"/>
      <c r="CL3" s="284" t="s">
        <v>266</v>
      </c>
      <c r="CM3" s="284"/>
      <c r="CN3" s="284"/>
      <c r="CO3" s="284"/>
      <c r="CP3" s="284"/>
      <c r="CQ3" s="142"/>
      <c r="CR3" s="277" t="s">
        <v>0</v>
      </c>
      <c r="CS3" s="277"/>
      <c r="CT3" s="277"/>
      <c r="CU3" s="277"/>
      <c r="CV3" s="277"/>
      <c r="CW3" s="162"/>
      <c r="CX3" s="278"/>
      <c r="CY3" s="278"/>
      <c r="CZ3" s="278"/>
      <c r="DA3" s="44"/>
      <c r="DB3" s="279" t="s">
        <v>18</v>
      </c>
      <c r="DC3" s="279"/>
      <c r="DD3" s="279"/>
      <c r="DE3" s="279"/>
      <c r="DF3" s="279"/>
      <c r="DG3" s="60"/>
    </row>
    <row r="4" spans="1:111" ht="31.5" customHeight="1" x14ac:dyDescent="0.3">
      <c r="A4" s="280" t="s">
        <v>269</v>
      </c>
      <c r="B4" s="280"/>
      <c r="C4" s="25"/>
      <c r="D4" s="61"/>
      <c r="E4" s="61"/>
      <c r="F4" s="61"/>
      <c r="G4" s="60"/>
      <c r="H4" s="77"/>
      <c r="I4" s="77"/>
      <c r="J4" s="77"/>
      <c r="K4" s="76"/>
      <c r="L4" s="125"/>
      <c r="M4" s="125"/>
      <c r="N4" s="125"/>
      <c r="O4" s="124"/>
      <c r="P4" s="93"/>
      <c r="Q4" s="93"/>
      <c r="R4" s="93"/>
      <c r="S4" s="93"/>
      <c r="T4" s="93"/>
      <c r="U4" s="92"/>
      <c r="V4" s="108"/>
      <c r="W4" s="108"/>
      <c r="X4" s="108"/>
      <c r="Y4" s="108"/>
      <c r="Z4" s="108"/>
      <c r="AA4" s="109"/>
      <c r="AB4" s="141"/>
      <c r="AC4" s="141"/>
      <c r="AD4" s="141"/>
      <c r="AE4" s="141"/>
      <c r="AF4" s="141"/>
      <c r="AG4" s="141"/>
      <c r="AH4" s="141"/>
      <c r="AI4" s="142"/>
      <c r="AJ4" s="161"/>
      <c r="AK4" s="161"/>
      <c r="AL4" s="161"/>
      <c r="AM4" s="162"/>
      <c r="AN4" s="59"/>
      <c r="AO4" s="59"/>
      <c r="AP4" s="59"/>
      <c r="AQ4" s="59"/>
      <c r="AR4" s="59"/>
      <c r="AS4" s="59"/>
      <c r="AT4" s="59"/>
      <c r="AU4" s="44"/>
      <c r="AV4" s="59"/>
      <c r="AW4" s="59"/>
      <c r="AX4" s="59"/>
      <c r="AY4" s="59"/>
      <c r="AZ4" s="59"/>
      <c r="BA4" s="59"/>
      <c r="BB4" s="59"/>
      <c r="BC4" s="44"/>
      <c r="BD4" s="61"/>
      <c r="BE4" s="61"/>
      <c r="BF4" s="61"/>
      <c r="BG4" s="61"/>
      <c r="BH4" s="61"/>
      <c r="BI4" s="61"/>
      <c r="BJ4" s="61"/>
      <c r="BK4" s="60"/>
      <c r="BL4" s="77"/>
      <c r="BM4" s="77"/>
      <c r="BN4" s="77"/>
      <c r="BO4" s="76"/>
      <c r="BP4" s="93"/>
      <c r="BQ4" s="93"/>
      <c r="BR4" s="93"/>
      <c r="BS4" s="92"/>
      <c r="BT4" s="108"/>
      <c r="BU4" s="108"/>
      <c r="BV4" s="108"/>
      <c r="BW4" s="109"/>
      <c r="BX4" s="59"/>
      <c r="BY4" s="59"/>
      <c r="BZ4" s="59"/>
      <c r="CA4" s="59"/>
      <c r="CB4" s="59"/>
      <c r="CC4" s="44"/>
      <c r="CD4" s="59"/>
      <c r="CE4" s="59"/>
      <c r="CF4" s="59"/>
      <c r="CG4" s="44"/>
      <c r="CH4" s="59"/>
      <c r="CI4" s="59"/>
      <c r="CJ4" s="59"/>
      <c r="CK4" s="44"/>
      <c r="CL4" s="141"/>
      <c r="CM4" s="141"/>
      <c r="CN4" s="141"/>
      <c r="CO4" s="141"/>
      <c r="CP4" s="141"/>
      <c r="CQ4" s="142"/>
      <c r="CR4" s="161"/>
      <c r="CS4" s="161"/>
      <c r="CT4" s="161"/>
      <c r="CU4" s="161"/>
      <c r="CV4" s="161"/>
      <c r="CW4" s="162"/>
      <c r="CX4" s="59"/>
      <c r="CY4" s="59"/>
      <c r="CZ4" s="59"/>
      <c r="DA4" s="44"/>
      <c r="DB4" s="61"/>
      <c r="DC4" s="61"/>
      <c r="DD4" s="61"/>
      <c r="DE4" s="61"/>
      <c r="DF4" s="61"/>
      <c r="DG4" s="60"/>
    </row>
    <row r="5" spans="1:111" s="49" customFormat="1" ht="52" x14ac:dyDescent="0.35">
      <c r="A5" s="42"/>
      <c r="B5" s="24"/>
      <c r="C5" s="27" t="s">
        <v>7</v>
      </c>
      <c r="D5" s="62" t="s">
        <v>23</v>
      </c>
      <c r="E5" s="63"/>
      <c r="F5" s="62" t="s">
        <v>1</v>
      </c>
      <c r="G5" s="63"/>
      <c r="H5" s="78" t="s">
        <v>24</v>
      </c>
      <c r="I5" s="79"/>
      <c r="J5" s="78" t="s">
        <v>25</v>
      </c>
      <c r="K5" s="79"/>
      <c r="L5" s="126"/>
      <c r="M5" s="127"/>
      <c r="N5" s="126"/>
      <c r="O5" s="127"/>
      <c r="P5" s="94" t="s">
        <v>42</v>
      </c>
      <c r="Q5" s="95"/>
      <c r="R5" s="94" t="s">
        <v>44</v>
      </c>
      <c r="S5" s="95"/>
      <c r="T5" s="94" t="s">
        <v>43</v>
      </c>
      <c r="U5" s="95"/>
      <c r="V5" s="110" t="s">
        <v>42</v>
      </c>
      <c r="W5" s="111"/>
      <c r="X5" s="110" t="s">
        <v>44</v>
      </c>
      <c r="Y5" s="111"/>
      <c r="Z5" s="110" t="s">
        <v>43</v>
      </c>
      <c r="AA5" s="111"/>
      <c r="AB5" s="143" t="s">
        <v>19</v>
      </c>
      <c r="AC5" s="144"/>
      <c r="AD5" s="143" t="s">
        <v>20</v>
      </c>
      <c r="AE5" s="144"/>
      <c r="AF5" s="143" t="s">
        <v>21</v>
      </c>
      <c r="AG5" s="144"/>
      <c r="AH5" s="145" t="s">
        <v>22</v>
      </c>
      <c r="AI5" s="146"/>
      <c r="AJ5" s="163" t="s">
        <v>11</v>
      </c>
      <c r="AK5" s="164"/>
      <c r="AL5" s="163" t="s">
        <v>12</v>
      </c>
      <c r="AM5" s="164"/>
      <c r="AN5" s="45"/>
      <c r="AO5" s="46"/>
      <c r="AP5" s="45"/>
      <c r="AQ5" s="46"/>
      <c r="AR5" s="45"/>
      <c r="AS5" s="46"/>
      <c r="AT5" s="47"/>
      <c r="AU5" s="48"/>
      <c r="AV5" s="45"/>
      <c r="AW5" s="46"/>
      <c r="AX5" s="45"/>
      <c r="AY5" s="46"/>
      <c r="AZ5" s="45"/>
      <c r="BA5" s="46"/>
      <c r="BB5" s="47"/>
      <c r="BC5" s="48"/>
      <c r="BD5" s="62" t="s">
        <v>29</v>
      </c>
      <c r="BE5" s="63"/>
      <c r="BF5" s="62" t="s">
        <v>30</v>
      </c>
      <c r="BG5" s="63"/>
      <c r="BH5" s="62" t="s">
        <v>31</v>
      </c>
      <c r="BI5" s="63"/>
      <c r="BJ5" s="62" t="s">
        <v>32</v>
      </c>
      <c r="BK5" s="63"/>
      <c r="BL5" s="78" t="s">
        <v>33</v>
      </c>
      <c r="BM5" s="79"/>
      <c r="BN5" s="78" t="s">
        <v>34</v>
      </c>
      <c r="BO5" s="79"/>
      <c r="BP5" s="94" t="s">
        <v>35</v>
      </c>
      <c r="BQ5" s="95"/>
      <c r="BR5" s="94" t="s">
        <v>36</v>
      </c>
      <c r="BS5" s="95"/>
      <c r="BT5" s="110" t="s">
        <v>37</v>
      </c>
      <c r="BU5" s="111"/>
      <c r="BV5" s="110" t="s">
        <v>38</v>
      </c>
      <c r="BW5" s="111"/>
      <c r="BX5" s="45"/>
      <c r="BY5" s="46"/>
      <c r="BZ5" s="45"/>
      <c r="CA5" s="46"/>
      <c r="CB5" s="47"/>
      <c r="CC5" s="48"/>
      <c r="CD5" s="47"/>
      <c r="CE5" s="48"/>
      <c r="CF5" s="47"/>
      <c r="CG5" s="48"/>
      <c r="CH5" s="47"/>
      <c r="CI5" s="48"/>
      <c r="CJ5" s="47"/>
      <c r="CK5" s="48"/>
      <c r="CL5" s="145" t="s">
        <v>39</v>
      </c>
      <c r="CM5" s="146"/>
      <c r="CN5" s="145" t="s">
        <v>40</v>
      </c>
      <c r="CO5" s="146"/>
      <c r="CP5" s="145" t="s">
        <v>41</v>
      </c>
      <c r="CQ5" s="146"/>
      <c r="CR5" s="163" t="s">
        <v>42</v>
      </c>
      <c r="CS5" s="164"/>
      <c r="CT5" s="163" t="s">
        <v>43</v>
      </c>
      <c r="CU5" s="164"/>
      <c r="CV5" s="163" t="s">
        <v>44</v>
      </c>
      <c r="CW5" s="164"/>
      <c r="CX5" s="47"/>
      <c r="CY5" s="48"/>
      <c r="CZ5" s="47"/>
      <c r="DA5" s="48"/>
      <c r="DB5" s="62" t="s">
        <v>45</v>
      </c>
      <c r="DC5" s="63"/>
      <c r="DD5" s="62" t="s">
        <v>46</v>
      </c>
      <c r="DE5" s="63"/>
      <c r="DF5" s="62" t="s">
        <v>47</v>
      </c>
      <c r="DG5" s="63"/>
    </row>
    <row r="6" spans="1:111" s="49" customFormat="1" ht="18" x14ac:dyDescent="0.35">
      <c r="A6" s="50"/>
      <c r="B6" s="24"/>
      <c r="C6" s="51" t="s">
        <v>168</v>
      </c>
      <c r="D6" s="64" t="s">
        <v>174</v>
      </c>
      <c r="E6" s="63"/>
      <c r="F6" s="64" t="s">
        <v>175</v>
      </c>
      <c r="G6" s="63"/>
      <c r="H6" s="80" t="s">
        <v>176</v>
      </c>
      <c r="I6" s="79"/>
      <c r="J6" s="80" t="s">
        <v>177</v>
      </c>
      <c r="K6" s="79"/>
      <c r="L6" s="128"/>
      <c r="M6" s="127"/>
      <c r="N6" s="128"/>
      <c r="O6" s="127"/>
      <c r="P6" s="96" t="s">
        <v>180</v>
      </c>
      <c r="Q6" s="95"/>
      <c r="R6" s="96" t="s">
        <v>181</v>
      </c>
      <c r="S6" s="95"/>
      <c r="T6" s="96" t="s">
        <v>182</v>
      </c>
      <c r="U6" s="95"/>
      <c r="V6" s="112" t="s">
        <v>183</v>
      </c>
      <c r="W6" s="111"/>
      <c r="X6" s="112" t="s">
        <v>184</v>
      </c>
      <c r="Y6" s="111"/>
      <c r="Z6" s="112" t="s">
        <v>185</v>
      </c>
      <c r="AA6" s="111"/>
      <c r="AB6" s="147" t="s">
        <v>170</v>
      </c>
      <c r="AC6" s="144"/>
      <c r="AD6" s="147" t="s">
        <v>171</v>
      </c>
      <c r="AE6" s="144"/>
      <c r="AF6" s="147" t="s">
        <v>172</v>
      </c>
      <c r="AG6" s="144"/>
      <c r="AH6" s="148" t="s">
        <v>173</v>
      </c>
      <c r="AI6" s="146"/>
      <c r="AJ6" s="165" t="s">
        <v>186</v>
      </c>
      <c r="AK6" s="164"/>
      <c r="AL6" s="165" t="s">
        <v>187</v>
      </c>
      <c r="AM6" s="164"/>
      <c r="AN6" s="52"/>
      <c r="AO6" s="46"/>
      <c r="AP6" s="52"/>
      <c r="AQ6" s="46"/>
      <c r="AR6" s="52"/>
      <c r="AS6" s="46"/>
      <c r="AT6" s="53"/>
      <c r="AU6" s="48"/>
      <c r="AV6" s="52"/>
      <c r="AW6" s="46"/>
      <c r="AX6" s="52"/>
      <c r="AY6" s="46"/>
      <c r="AZ6" s="52"/>
      <c r="BA6" s="46"/>
      <c r="BB6" s="53"/>
      <c r="BC6" s="48"/>
      <c r="BD6" s="64" t="s">
        <v>191</v>
      </c>
      <c r="BE6" s="63"/>
      <c r="BF6" s="64" t="s">
        <v>192</v>
      </c>
      <c r="BG6" s="63"/>
      <c r="BH6" s="64" t="s">
        <v>193</v>
      </c>
      <c r="BI6" s="63"/>
      <c r="BJ6" s="64" t="s">
        <v>194</v>
      </c>
      <c r="BK6" s="63"/>
      <c r="BL6" s="80" t="s">
        <v>195</v>
      </c>
      <c r="BM6" s="79"/>
      <c r="BN6" s="80" t="s">
        <v>196</v>
      </c>
      <c r="BO6" s="79"/>
      <c r="BP6" s="96" t="s">
        <v>197</v>
      </c>
      <c r="BQ6" s="95"/>
      <c r="BR6" s="96" t="s">
        <v>198</v>
      </c>
      <c r="BS6" s="95"/>
      <c r="BT6" s="112" t="s">
        <v>199</v>
      </c>
      <c r="BU6" s="111"/>
      <c r="BV6" s="112" t="s">
        <v>200</v>
      </c>
      <c r="BW6" s="111"/>
      <c r="BX6" s="52"/>
      <c r="BY6" s="46"/>
      <c r="BZ6" s="52"/>
      <c r="CA6" s="46"/>
      <c r="CB6" s="53"/>
      <c r="CC6" s="48"/>
      <c r="CD6" s="53"/>
      <c r="CE6" s="48"/>
      <c r="CF6" s="53"/>
      <c r="CG6" s="48"/>
      <c r="CH6" s="53"/>
      <c r="CI6" s="48"/>
      <c r="CJ6" s="53"/>
      <c r="CK6" s="48"/>
      <c r="CL6" s="148" t="s">
        <v>201</v>
      </c>
      <c r="CM6" s="146"/>
      <c r="CN6" s="148" t="s">
        <v>202</v>
      </c>
      <c r="CO6" s="146"/>
      <c r="CP6" s="148" t="s">
        <v>203</v>
      </c>
      <c r="CQ6" s="146"/>
      <c r="CR6" s="165" t="s">
        <v>48</v>
      </c>
      <c r="CS6" s="164"/>
      <c r="CT6" s="165" t="s">
        <v>204</v>
      </c>
      <c r="CU6" s="164"/>
      <c r="CV6" s="165" t="s">
        <v>205</v>
      </c>
      <c r="CW6" s="164"/>
      <c r="CX6" s="53"/>
      <c r="CY6" s="48"/>
      <c r="CZ6" s="53"/>
      <c r="DA6" s="48"/>
      <c r="DB6" s="64" t="s">
        <v>206</v>
      </c>
      <c r="DC6" s="63"/>
      <c r="DD6" s="64" t="s">
        <v>207</v>
      </c>
      <c r="DE6" s="63"/>
      <c r="DF6" s="64" t="s">
        <v>208</v>
      </c>
      <c r="DG6" s="63"/>
    </row>
    <row r="7" spans="1:111" x14ac:dyDescent="0.2">
      <c r="A7" s="28" t="s">
        <v>53</v>
      </c>
      <c r="B7" s="29" t="s">
        <v>54</v>
      </c>
      <c r="E7" s="66"/>
      <c r="G7" s="66"/>
      <c r="I7" s="82"/>
      <c r="K7" s="82"/>
      <c r="M7" s="130"/>
      <c r="O7" s="130"/>
      <c r="Q7" s="98"/>
      <c r="S7" s="98"/>
      <c r="U7" s="98"/>
      <c r="W7" s="114"/>
      <c r="Y7" s="114"/>
      <c r="AA7" s="114"/>
      <c r="AC7" s="150"/>
      <c r="AE7" s="150"/>
      <c r="AG7" s="150"/>
      <c r="AI7" s="150"/>
      <c r="AK7" s="167"/>
      <c r="AM7" s="167"/>
      <c r="AO7" s="54"/>
      <c r="AQ7" s="54"/>
      <c r="AS7" s="54"/>
      <c r="AU7" s="54"/>
      <c r="AW7" s="54"/>
      <c r="AY7" s="54"/>
      <c r="BA7" s="54"/>
      <c r="BC7" s="54"/>
      <c r="BE7" s="66"/>
      <c r="BG7" s="66"/>
      <c r="BI7" s="66"/>
      <c r="BK7" s="66"/>
      <c r="BM7" s="82"/>
      <c r="BO7" s="82"/>
      <c r="BQ7" s="98"/>
      <c r="BS7" s="98"/>
      <c r="BU7" s="114"/>
      <c r="BW7" s="114"/>
      <c r="BY7" s="54"/>
      <c r="CA7" s="54"/>
      <c r="CC7" s="54"/>
      <c r="CE7" s="54"/>
      <c r="CG7" s="54"/>
      <c r="CI7" s="54"/>
      <c r="CK7" s="54"/>
      <c r="CM7" s="150"/>
      <c r="CO7" s="150"/>
      <c r="CQ7" s="150"/>
      <c r="CS7" s="167"/>
      <c r="CU7" s="167"/>
      <c r="CW7" s="167"/>
      <c r="CY7" s="54"/>
      <c r="DA7" s="54"/>
      <c r="DC7" s="66"/>
      <c r="DE7" s="66"/>
      <c r="DG7" s="66"/>
    </row>
    <row r="8" spans="1:111" outlineLevel="1" x14ac:dyDescent="0.2">
      <c r="A8" s="30"/>
      <c r="B8" s="32" t="s">
        <v>55</v>
      </c>
      <c r="C8" s="31">
        <f>1883.05224610559+89.9477538944136</f>
        <v>1973.0000000000036</v>
      </c>
      <c r="D8" s="67">
        <f>1186.40754506923+54.5924549307656</f>
        <v>1240.9999999999957</v>
      </c>
      <c r="E8" s="68"/>
      <c r="F8" s="67">
        <f>697.229271339924+34.7707286600755</f>
        <v>731.99999999999955</v>
      </c>
      <c r="G8" s="68"/>
      <c r="H8" s="83">
        <f>1294.51472390475+61.4852760952508</f>
        <v>1356.0000000000009</v>
      </c>
      <c r="I8" s="84"/>
      <c r="J8" s="83">
        <f>588.872678023413+28.1273219765872</f>
        <v>617.00000000000011</v>
      </c>
      <c r="K8" s="84"/>
      <c r="L8" s="131"/>
      <c r="M8" s="132"/>
      <c r="N8" s="131"/>
      <c r="O8" s="132"/>
      <c r="P8" s="99">
        <f>197.775455801689+12.2245441983108</f>
        <v>209.9999999999998</v>
      </c>
      <c r="Q8" s="100"/>
      <c r="R8" s="99">
        <f>183.624369897672+9.37563010232844</f>
        <v>193.00000000000045</v>
      </c>
      <c r="S8" s="100"/>
      <c r="T8" s="99">
        <f>202.167219603481+6.83278039651879</f>
        <v>208.99999999999977</v>
      </c>
      <c r="U8" s="100"/>
      <c r="V8" s="115">
        <f>142.903095748811+7.09690425118887</f>
        <v>149.99999999999989</v>
      </c>
      <c r="W8" s="116"/>
      <c r="X8" s="115">
        <f>159.312800786456+8.68719921354355</f>
        <v>167.99999999999955</v>
      </c>
      <c r="Y8" s="116"/>
      <c r="Z8" s="115">
        <f>187.399553476067+6.60044652393256</f>
        <v>193.99999999999957</v>
      </c>
      <c r="AA8" s="116"/>
      <c r="AB8" s="151">
        <f>418.260207692397+16.7397923076035</f>
        <v>435.00000000000051</v>
      </c>
      <c r="AC8" s="152"/>
      <c r="AD8" s="151">
        <f>738.006659532827+36.9933404671731</f>
        <v>775.00000000000011</v>
      </c>
      <c r="AE8" s="152"/>
      <c r="AF8" s="151">
        <f>311.253904538341+10.7460954616589</f>
        <v>321.99999999999989</v>
      </c>
      <c r="AG8" s="152"/>
      <c r="AH8" s="151">
        <f>431.026863681208+9.97313631879211</f>
        <v>441.00000000000011</v>
      </c>
      <c r="AI8" s="152"/>
      <c r="AJ8" s="168">
        <f>923.333460709361+44.6665392906394</f>
        <v>968.00000000000045</v>
      </c>
      <c r="AK8" s="169"/>
      <c r="AL8" s="168">
        <f>959.799270076854+45.2007299231459</f>
        <v>1004.9999999999999</v>
      </c>
      <c r="AM8" s="169"/>
      <c r="AN8" s="31"/>
      <c r="AO8" s="55"/>
      <c r="AP8" s="31"/>
      <c r="AQ8" s="55"/>
      <c r="AR8" s="31"/>
      <c r="AS8" s="55"/>
      <c r="AT8" s="31"/>
      <c r="AU8" s="55"/>
      <c r="AV8" s="31"/>
      <c r="AW8" s="55"/>
      <c r="AX8" s="31"/>
      <c r="AY8" s="55"/>
      <c r="AZ8" s="31"/>
      <c r="BA8" s="55"/>
      <c r="BB8" s="31"/>
      <c r="BC8" s="55"/>
      <c r="BD8" s="67">
        <f>379.857824097321+11.1421759026792</f>
        <v>391.00000000000017</v>
      </c>
      <c r="BE8" s="68"/>
      <c r="BF8" s="67">
        <f>745.998424961336+22.0015750386635</f>
        <v>767.99999999999955</v>
      </c>
      <c r="BG8" s="68"/>
      <c r="BH8" s="67">
        <f>409.189427060892+14.8105729391077</f>
        <v>423.99999999999972</v>
      </c>
      <c r="BI8" s="68"/>
      <c r="BJ8" s="67">
        <f>363.70066322202+26.2993367779799</f>
        <v>389.99999999999989</v>
      </c>
      <c r="BK8" s="68"/>
      <c r="BL8" s="83">
        <f>896.282615300541+41.7173846994588</f>
        <v>937.99999999999977</v>
      </c>
      <c r="BM8" s="84"/>
      <c r="BN8" s="83">
        <f>918.786185024919+45.2138149750814</f>
        <v>964.00000000000034</v>
      </c>
      <c r="BO8" s="84"/>
      <c r="BP8" s="99">
        <f>566.54488221061+21.4551177893895</f>
        <v>587.99999999999955</v>
      </c>
      <c r="BQ8" s="100"/>
      <c r="BR8" s="99">
        <f>1309.85022189589+68.1497781041148</f>
        <v>1378.0000000000048</v>
      </c>
      <c r="BS8" s="100"/>
      <c r="BT8" s="115">
        <f>801.597409190903+42.4025908090973</f>
        <v>844.00000000000034</v>
      </c>
      <c r="BU8" s="116"/>
      <c r="BV8" s="115">
        <f>1073.89067127574+47.109328724262</f>
        <v>1121.000000000002</v>
      </c>
      <c r="BW8" s="116"/>
      <c r="BX8" s="31"/>
      <c r="BY8" s="55"/>
      <c r="BZ8" s="31"/>
      <c r="CA8" s="55"/>
      <c r="CB8" s="31"/>
      <c r="CC8" s="55"/>
      <c r="CD8" s="31"/>
      <c r="CE8" s="55"/>
      <c r="CF8" s="31"/>
      <c r="CG8" s="55"/>
      <c r="CH8" s="31"/>
      <c r="CI8" s="55"/>
      <c r="CJ8" s="31"/>
      <c r="CK8" s="55"/>
      <c r="CL8" s="151">
        <f>1355.82509014005+57.1749098599505</f>
        <v>1413.0000000000005</v>
      </c>
      <c r="CM8" s="152"/>
      <c r="CN8" s="151">
        <f>292.487931587065+18.5120684129348</f>
        <v>310.99999999999983</v>
      </c>
      <c r="CO8" s="152"/>
      <c r="CP8" s="151">
        <f>266.807630662101+20.192369337899</f>
        <v>287</v>
      </c>
      <c r="CQ8" s="152"/>
      <c r="CR8" s="168">
        <f>771.339198902703+38.6608010972968</f>
        <v>809.99999999999977</v>
      </c>
      <c r="CS8" s="169"/>
      <c r="CT8" s="168">
        <f>498.353180029268+21.6468199707316</f>
        <v>519.99999999999955</v>
      </c>
      <c r="CU8" s="169"/>
      <c r="CV8" s="168">
        <f>425.648257709813+20.3517422901865</f>
        <v>445.99999999999949</v>
      </c>
      <c r="CW8" s="169"/>
      <c r="CX8" s="31"/>
      <c r="CY8" s="55"/>
      <c r="CZ8" s="31"/>
      <c r="DA8" s="55"/>
      <c r="DB8" s="67">
        <f>562.90176025743+31.0982397425698</f>
        <v>593.99999999999989</v>
      </c>
      <c r="DC8" s="68"/>
      <c r="DD8" s="67">
        <f>923.018785397321+40.9812146026794</f>
        <v>964.00000000000045</v>
      </c>
      <c r="DE8" s="68"/>
      <c r="DF8" s="67">
        <f>397.90956414565+17.0904358543499</f>
        <v>414.99999999999989</v>
      </c>
      <c r="DG8" s="68"/>
    </row>
    <row r="9" spans="1:111" s="35" customFormat="1" outlineLevel="1" x14ac:dyDescent="0.2">
      <c r="A9" s="30"/>
      <c r="B9" s="33"/>
      <c r="C9" s="34" t="s">
        <v>167</v>
      </c>
      <c r="D9" s="69" t="s">
        <v>167</v>
      </c>
      <c r="E9" s="70"/>
      <c r="F9" s="69" t="s">
        <v>167</v>
      </c>
      <c r="G9" s="70"/>
      <c r="H9" s="85" t="s">
        <v>167</v>
      </c>
      <c r="I9" s="86"/>
      <c r="J9" s="85" t="s">
        <v>167</v>
      </c>
      <c r="K9" s="86"/>
      <c r="L9" s="133"/>
      <c r="M9" s="134"/>
      <c r="N9" s="133"/>
      <c r="O9" s="134"/>
      <c r="P9" s="101" t="s">
        <v>167</v>
      </c>
      <c r="Q9" s="102"/>
      <c r="R9" s="101" t="s">
        <v>167</v>
      </c>
      <c r="S9" s="102"/>
      <c r="T9" s="101" t="s">
        <v>167</v>
      </c>
      <c r="U9" s="102"/>
      <c r="V9" s="117" t="s">
        <v>167</v>
      </c>
      <c r="W9" s="118"/>
      <c r="X9" s="117" t="s">
        <v>167</v>
      </c>
      <c r="Y9" s="118"/>
      <c r="Z9" s="117" t="s">
        <v>167</v>
      </c>
      <c r="AA9" s="118"/>
      <c r="AB9" s="153" t="s">
        <v>167</v>
      </c>
      <c r="AC9" s="154"/>
      <c r="AD9" s="153" t="s">
        <v>167</v>
      </c>
      <c r="AE9" s="154"/>
      <c r="AF9" s="153" t="s">
        <v>167</v>
      </c>
      <c r="AG9" s="154"/>
      <c r="AH9" s="153" t="s">
        <v>167</v>
      </c>
      <c r="AI9" s="154"/>
      <c r="AJ9" s="170" t="s">
        <v>167</v>
      </c>
      <c r="AK9" s="171"/>
      <c r="AL9" s="170" t="s">
        <v>167</v>
      </c>
      <c r="AM9" s="171"/>
      <c r="AN9" s="34"/>
      <c r="AO9" s="56"/>
      <c r="AP9" s="34"/>
      <c r="AQ9" s="56"/>
      <c r="AR9" s="34"/>
      <c r="AS9" s="56"/>
      <c r="AT9" s="34"/>
      <c r="AU9" s="56"/>
      <c r="AV9" s="34"/>
      <c r="AW9" s="56"/>
      <c r="AX9" s="34"/>
      <c r="AY9" s="56"/>
      <c r="AZ9" s="34"/>
      <c r="BA9" s="56"/>
      <c r="BB9" s="34"/>
      <c r="BC9" s="56"/>
      <c r="BD9" s="69" t="s">
        <v>167</v>
      </c>
      <c r="BE9" s="70"/>
      <c r="BF9" s="69" t="s">
        <v>167</v>
      </c>
      <c r="BG9" s="70"/>
      <c r="BH9" s="69" t="s">
        <v>167</v>
      </c>
      <c r="BI9" s="70"/>
      <c r="BJ9" s="69" t="s">
        <v>167</v>
      </c>
      <c r="BK9" s="70"/>
      <c r="BL9" s="85" t="s">
        <v>167</v>
      </c>
      <c r="BM9" s="86"/>
      <c r="BN9" s="85" t="s">
        <v>167</v>
      </c>
      <c r="BO9" s="86"/>
      <c r="BP9" s="101" t="s">
        <v>167</v>
      </c>
      <c r="BQ9" s="102"/>
      <c r="BR9" s="101" t="s">
        <v>167</v>
      </c>
      <c r="BS9" s="102"/>
      <c r="BT9" s="117" t="s">
        <v>167</v>
      </c>
      <c r="BU9" s="118"/>
      <c r="BV9" s="117" t="s">
        <v>167</v>
      </c>
      <c r="BW9" s="118"/>
      <c r="BX9" s="34"/>
      <c r="BY9" s="56"/>
      <c r="BZ9" s="34"/>
      <c r="CA9" s="56"/>
      <c r="CB9" s="34"/>
      <c r="CC9" s="56"/>
      <c r="CD9" s="34"/>
      <c r="CE9" s="56"/>
      <c r="CF9" s="34"/>
      <c r="CG9" s="56"/>
      <c r="CH9" s="34"/>
      <c r="CI9" s="56"/>
      <c r="CJ9" s="34"/>
      <c r="CK9" s="56"/>
      <c r="CL9" s="153" t="s">
        <v>167</v>
      </c>
      <c r="CM9" s="154"/>
      <c r="CN9" s="153" t="s">
        <v>167</v>
      </c>
      <c r="CO9" s="154"/>
      <c r="CP9" s="153" t="s">
        <v>167</v>
      </c>
      <c r="CQ9" s="154"/>
      <c r="CR9" s="170" t="s">
        <v>167</v>
      </c>
      <c r="CS9" s="171"/>
      <c r="CT9" s="170" t="s">
        <v>167</v>
      </c>
      <c r="CU9" s="171"/>
      <c r="CV9" s="170" t="s">
        <v>167</v>
      </c>
      <c r="CW9" s="171"/>
      <c r="CX9" s="34"/>
      <c r="CY9" s="56"/>
      <c r="CZ9" s="34"/>
      <c r="DA9" s="56"/>
      <c r="DB9" s="69" t="s">
        <v>167</v>
      </c>
      <c r="DC9" s="70"/>
      <c r="DD9" s="69" t="s">
        <v>167</v>
      </c>
      <c r="DE9" s="70"/>
      <c r="DF9" s="69" t="s">
        <v>167</v>
      </c>
      <c r="DG9" s="70"/>
    </row>
    <row r="10" spans="1:111" outlineLevel="1" x14ac:dyDescent="0.2">
      <c r="A10" s="30"/>
      <c r="B10" s="30"/>
      <c r="E10" s="66"/>
      <c r="G10" s="66"/>
      <c r="I10" s="82"/>
      <c r="K10" s="82"/>
      <c r="M10" s="130"/>
      <c r="O10" s="130"/>
      <c r="Q10" s="98"/>
      <c r="S10" s="98"/>
      <c r="U10" s="98"/>
      <c r="W10" s="114"/>
      <c r="Y10" s="114"/>
      <c r="AA10" s="114"/>
      <c r="AC10" s="150"/>
      <c r="AE10" s="150"/>
      <c r="AG10" s="150"/>
      <c r="AI10" s="150"/>
      <c r="AK10" s="167"/>
      <c r="AM10" s="167"/>
      <c r="AO10" s="54"/>
      <c r="AQ10" s="54"/>
      <c r="AS10" s="54"/>
      <c r="AU10" s="54"/>
      <c r="AW10" s="54"/>
      <c r="AY10" s="54"/>
      <c r="BA10" s="54"/>
      <c r="BC10" s="54"/>
      <c r="BE10" s="66"/>
      <c r="BG10" s="66"/>
      <c r="BI10" s="66"/>
      <c r="BK10" s="66"/>
      <c r="BM10" s="82"/>
      <c r="BO10" s="82"/>
      <c r="BQ10" s="98"/>
      <c r="BS10" s="98"/>
      <c r="BU10" s="114"/>
      <c r="BW10" s="114"/>
      <c r="BY10" s="54"/>
      <c r="CA10" s="54"/>
      <c r="CC10" s="54"/>
      <c r="CE10" s="54"/>
      <c r="CG10" s="54"/>
      <c r="CI10" s="54"/>
      <c r="CK10" s="54"/>
      <c r="CM10" s="150"/>
      <c r="CO10" s="150"/>
      <c r="CQ10" s="150"/>
      <c r="CS10" s="167"/>
      <c r="CU10" s="167"/>
      <c r="CW10" s="167"/>
      <c r="CY10" s="54"/>
      <c r="DA10" s="54"/>
      <c r="DC10" s="66"/>
      <c r="DE10" s="66"/>
      <c r="DG10" s="66"/>
    </row>
    <row r="11" spans="1:111" outlineLevel="1" x14ac:dyDescent="0.2">
      <c r="A11" s="30"/>
      <c r="B11" s="29" t="s">
        <v>56</v>
      </c>
      <c r="C11" s="36">
        <v>62.134205473599572</v>
      </c>
      <c r="D11" s="71">
        <v>100</v>
      </c>
      <c r="E11" s="68" t="s">
        <v>175</v>
      </c>
      <c r="F11" s="71">
        <v>0</v>
      </c>
      <c r="G11" s="68"/>
      <c r="H11" s="87">
        <v>91.219758031596839</v>
      </c>
      <c r="I11" s="84" t="s">
        <v>177</v>
      </c>
      <c r="J11" s="87">
        <v>0</v>
      </c>
      <c r="K11" s="84"/>
      <c r="L11" s="135"/>
      <c r="M11" s="132"/>
      <c r="N11" s="135"/>
      <c r="O11" s="132"/>
      <c r="P11" s="103">
        <v>0</v>
      </c>
      <c r="Q11" s="100"/>
      <c r="R11" s="103">
        <v>0</v>
      </c>
      <c r="S11" s="100"/>
      <c r="T11" s="103">
        <v>0</v>
      </c>
      <c r="U11" s="100"/>
      <c r="V11" s="119">
        <v>0</v>
      </c>
      <c r="W11" s="116"/>
      <c r="X11" s="119">
        <v>0</v>
      </c>
      <c r="Y11" s="116"/>
      <c r="Z11" s="119">
        <v>0</v>
      </c>
      <c r="AA11" s="116"/>
      <c r="AB11" s="155">
        <v>50.676609294516282</v>
      </c>
      <c r="AC11" s="152"/>
      <c r="AD11" s="155">
        <v>55.993188069334771</v>
      </c>
      <c r="AE11" s="152"/>
      <c r="AF11" s="155">
        <v>62.849677606891817</v>
      </c>
      <c r="AG11" s="152" t="s">
        <v>240</v>
      </c>
      <c r="AH11" s="155">
        <v>87.536745819573312</v>
      </c>
      <c r="AI11" s="152" t="s">
        <v>241</v>
      </c>
      <c r="AJ11" s="172">
        <v>67.893271368342766</v>
      </c>
      <c r="AK11" s="169" t="s">
        <v>187</v>
      </c>
      <c r="AL11" s="172">
        <v>56.521022317810072</v>
      </c>
      <c r="AM11" s="169"/>
      <c r="AN11" s="36"/>
      <c r="AO11" s="55"/>
      <c r="AP11" s="36"/>
      <c r="AQ11" s="55"/>
      <c r="AR11" s="36"/>
      <c r="AS11" s="55"/>
      <c r="AT11" s="36"/>
      <c r="AU11" s="55"/>
      <c r="AV11" s="36"/>
      <c r="AW11" s="55"/>
      <c r="AX11" s="36"/>
      <c r="AY11" s="55"/>
      <c r="AZ11" s="36"/>
      <c r="BA11" s="55"/>
      <c r="BB11" s="36"/>
      <c r="BC11" s="55"/>
      <c r="BD11" s="71">
        <v>69.050714623535001</v>
      </c>
      <c r="BE11" s="68" t="s">
        <v>242</v>
      </c>
      <c r="BF11" s="71">
        <v>56.686109410650872</v>
      </c>
      <c r="BG11" s="68"/>
      <c r="BH11" s="71">
        <v>61.054838821899509</v>
      </c>
      <c r="BI11" s="68"/>
      <c r="BJ11" s="71">
        <v>66.030902673739618</v>
      </c>
      <c r="BK11" s="68" t="s">
        <v>192</v>
      </c>
      <c r="BL11" s="87">
        <v>50.643697027057449</v>
      </c>
      <c r="BM11" s="84"/>
      <c r="BN11" s="87">
        <v>74.284944458887452</v>
      </c>
      <c r="BO11" s="84" t="s">
        <v>195</v>
      </c>
      <c r="BP11" s="103">
        <v>46.142542642718816</v>
      </c>
      <c r="BQ11" s="100"/>
      <c r="BR11" s="103">
        <v>69.143475391624179</v>
      </c>
      <c r="BS11" s="100" t="s">
        <v>197</v>
      </c>
      <c r="BT11" s="119">
        <v>73.129709093112709</v>
      </c>
      <c r="BU11" s="116" t="s">
        <v>200</v>
      </c>
      <c r="BV11" s="119">
        <v>53.956117322404772</v>
      </c>
      <c r="BW11" s="116"/>
      <c r="BX11" s="36"/>
      <c r="BY11" s="55"/>
      <c r="BZ11" s="36"/>
      <c r="CA11" s="55"/>
      <c r="CB11" s="36"/>
      <c r="CC11" s="55"/>
      <c r="CD11" s="36"/>
      <c r="CE11" s="55"/>
      <c r="CF11" s="36"/>
      <c r="CG11" s="55"/>
      <c r="CH11" s="36"/>
      <c r="CI11" s="55"/>
      <c r="CJ11" s="36"/>
      <c r="CK11" s="55"/>
      <c r="CL11" s="155">
        <v>62.982864801967374</v>
      </c>
      <c r="CM11" s="152" t="s">
        <v>202</v>
      </c>
      <c r="CN11" s="155">
        <v>55.063515659312813</v>
      </c>
      <c r="CO11" s="152"/>
      <c r="CP11" s="155">
        <v>61.431655687899998</v>
      </c>
      <c r="CQ11" s="152"/>
      <c r="CR11" s="172">
        <v>73.722453152323695</v>
      </c>
      <c r="CS11" s="169" t="s">
        <v>243</v>
      </c>
      <c r="CT11" s="172">
        <v>58.715404776799573</v>
      </c>
      <c r="CU11" s="169"/>
      <c r="CV11" s="172">
        <v>55.495177185290636</v>
      </c>
      <c r="CW11" s="169"/>
      <c r="CX11" s="36"/>
      <c r="CY11" s="55"/>
      <c r="CZ11" s="36"/>
      <c r="DA11" s="55"/>
      <c r="DB11" s="71">
        <v>66.211186894509169</v>
      </c>
      <c r="DC11" s="68" t="s">
        <v>208</v>
      </c>
      <c r="DD11" s="71">
        <v>66.204397901841446</v>
      </c>
      <c r="DE11" s="68" t="s">
        <v>208</v>
      </c>
      <c r="DF11" s="71">
        <v>46.934470358342551</v>
      </c>
      <c r="DG11" s="68"/>
    </row>
    <row r="12" spans="1:111" outlineLevel="1" x14ac:dyDescent="0.2">
      <c r="A12" s="30"/>
      <c r="B12" s="37" t="s">
        <v>57</v>
      </c>
      <c r="C12" s="38">
        <v>11.827526413309878</v>
      </c>
      <c r="D12" s="72">
        <v>19.035451283488801</v>
      </c>
      <c r="E12" s="68" t="s">
        <v>175</v>
      </c>
      <c r="F12" s="72">
        <v>0</v>
      </c>
      <c r="G12" s="68"/>
      <c r="H12" s="88">
        <v>17.364092601020978</v>
      </c>
      <c r="I12" s="84" t="s">
        <v>177</v>
      </c>
      <c r="J12" s="88">
        <v>0</v>
      </c>
      <c r="K12" s="84"/>
      <c r="L12" s="136"/>
      <c r="M12" s="132"/>
      <c r="N12" s="136"/>
      <c r="O12" s="132"/>
      <c r="P12" s="104">
        <v>0</v>
      </c>
      <c r="Q12" s="100"/>
      <c r="R12" s="104">
        <v>0</v>
      </c>
      <c r="S12" s="100"/>
      <c r="T12" s="104">
        <v>0</v>
      </c>
      <c r="U12" s="100"/>
      <c r="V12" s="120">
        <v>0</v>
      </c>
      <c r="W12" s="116"/>
      <c r="X12" s="120">
        <v>0</v>
      </c>
      <c r="Y12" s="116"/>
      <c r="Z12" s="120">
        <v>0</v>
      </c>
      <c r="AA12" s="116"/>
      <c r="AB12" s="156">
        <v>14.257916369106407</v>
      </c>
      <c r="AC12" s="152" t="s">
        <v>173</v>
      </c>
      <c r="AD12" s="156">
        <v>14.400600242489267</v>
      </c>
      <c r="AE12" s="152" t="s">
        <v>244</v>
      </c>
      <c r="AF12" s="156">
        <v>9.819876063633</v>
      </c>
      <c r="AG12" s="152" t="s">
        <v>173</v>
      </c>
      <c r="AH12" s="156">
        <v>5.1557634848246581</v>
      </c>
      <c r="AI12" s="152"/>
      <c r="AJ12" s="173">
        <v>15.999527129875371</v>
      </c>
      <c r="AK12" s="169" t="s">
        <v>187</v>
      </c>
      <c r="AL12" s="173">
        <v>7.7612065315486714</v>
      </c>
      <c r="AM12" s="169"/>
      <c r="AN12" s="38"/>
      <c r="AO12" s="55"/>
      <c r="AP12" s="38"/>
      <c r="AQ12" s="55"/>
      <c r="AR12" s="38"/>
      <c r="AS12" s="55"/>
      <c r="AT12" s="38"/>
      <c r="AU12" s="55"/>
      <c r="AV12" s="38"/>
      <c r="AW12" s="55"/>
      <c r="AX12" s="38"/>
      <c r="AY12" s="55"/>
      <c r="AZ12" s="38"/>
      <c r="BA12" s="55"/>
      <c r="BB12" s="38"/>
      <c r="BC12" s="55"/>
      <c r="BD12" s="72">
        <v>12.845257449748834</v>
      </c>
      <c r="BE12" s="68"/>
      <c r="BF12" s="72">
        <v>10.90483457885931</v>
      </c>
      <c r="BG12" s="68"/>
      <c r="BH12" s="72">
        <v>10.531448550817071</v>
      </c>
      <c r="BI12" s="68"/>
      <c r="BJ12" s="72">
        <v>13.77012713404241</v>
      </c>
      <c r="BK12" s="68"/>
      <c r="BL12" s="88">
        <v>8.7842789860725095</v>
      </c>
      <c r="BM12" s="84"/>
      <c r="BN12" s="88">
        <v>15.017144422036733</v>
      </c>
      <c r="BO12" s="84" t="s">
        <v>195</v>
      </c>
      <c r="BP12" s="104">
        <v>11.084120191737489</v>
      </c>
      <c r="BQ12" s="100"/>
      <c r="BR12" s="104">
        <v>12.205465845711556</v>
      </c>
      <c r="BS12" s="100"/>
      <c r="BT12" s="120">
        <v>14.387015912682724</v>
      </c>
      <c r="BU12" s="116" t="s">
        <v>200</v>
      </c>
      <c r="BV12" s="120">
        <v>9.7598979216430042</v>
      </c>
      <c r="BW12" s="116"/>
      <c r="BX12" s="38"/>
      <c r="BY12" s="55"/>
      <c r="BZ12" s="38"/>
      <c r="CA12" s="55"/>
      <c r="CB12" s="38"/>
      <c r="CC12" s="55"/>
      <c r="CD12" s="38"/>
      <c r="CE12" s="55"/>
      <c r="CF12" s="38"/>
      <c r="CG12" s="55"/>
      <c r="CH12" s="38"/>
      <c r="CI12" s="55"/>
      <c r="CJ12" s="38"/>
      <c r="CK12" s="55"/>
      <c r="CL12" s="156">
        <v>11.028638497313901</v>
      </c>
      <c r="CM12" s="152"/>
      <c r="CN12" s="156">
        <v>13.213757221527754</v>
      </c>
      <c r="CO12" s="152"/>
      <c r="CP12" s="156">
        <v>18.649160564419944</v>
      </c>
      <c r="CQ12" s="152" t="s">
        <v>201</v>
      </c>
      <c r="CR12" s="173">
        <v>14.962674371347823</v>
      </c>
      <c r="CS12" s="169" t="s">
        <v>243</v>
      </c>
      <c r="CT12" s="173">
        <v>9.9298657959700698</v>
      </c>
      <c r="CU12" s="169"/>
      <c r="CV12" s="173">
        <v>10.425631326458236</v>
      </c>
      <c r="CW12" s="169"/>
      <c r="CX12" s="38"/>
      <c r="CY12" s="55"/>
      <c r="CZ12" s="38"/>
      <c r="DA12" s="55"/>
      <c r="DB12" s="72">
        <v>18.134400651856467</v>
      </c>
      <c r="DC12" s="68" t="s">
        <v>245</v>
      </c>
      <c r="DD12" s="72">
        <v>10.21321860527223</v>
      </c>
      <c r="DE12" s="68" t="s">
        <v>208</v>
      </c>
      <c r="DF12" s="72">
        <v>6.325244212087247</v>
      </c>
      <c r="DG12" s="68"/>
    </row>
    <row r="13" spans="1:111" outlineLevel="1" x14ac:dyDescent="0.2">
      <c r="A13" s="30"/>
      <c r="B13" s="276" t="s">
        <v>58</v>
      </c>
      <c r="C13" s="136">
        <v>8.5191191326753763</v>
      </c>
      <c r="D13" s="72">
        <v>13.710836193592426</v>
      </c>
      <c r="E13" s="68" t="s">
        <v>175</v>
      </c>
      <c r="F13" s="72">
        <v>0</v>
      </c>
      <c r="G13" s="68"/>
      <c r="H13" s="88">
        <v>12.506991599903612</v>
      </c>
      <c r="I13" s="84" t="s">
        <v>177</v>
      </c>
      <c r="J13" s="88">
        <v>0</v>
      </c>
      <c r="K13" s="84"/>
      <c r="L13" s="136"/>
      <c r="M13" s="132"/>
      <c r="N13" s="136"/>
      <c r="O13" s="132"/>
      <c r="P13" s="104">
        <v>0</v>
      </c>
      <c r="Q13" s="100"/>
      <c r="R13" s="104">
        <v>0</v>
      </c>
      <c r="S13" s="100"/>
      <c r="T13" s="104">
        <v>0</v>
      </c>
      <c r="U13" s="100"/>
      <c r="V13" s="120">
        <v>0</v>
      </c>
      <c r="W13" s="116"/>
      <c r="X13" s="120">
        <v>0</v>
      </c>
      <c r="Y13" s="116"/>
      <c r="Z13" s="120">
        <v>0</v>
      </c>
      <c r="AA13" s="116"/>
      <c r="AB13" s="156">
        <v>12.173625461534956</v>
      </c>
      <c r="AC13" s="152" t="s">
        <v>244</v>
      </c>
      <c r="AD13" s="156">
        <v>10.883345989412389</v>
      </c>
      <c r="AE13" s="152" t="s">
        <v>244</v>
      </c>
      <c r="AF13" s="156">
        <v>4.1655105438401776</v>
      </c>
      <c r="AG13" s="152"/>
      <c r="AH13" s="156">
        <v>2.8104523772081564</v>
      </c>
      <c r="AI13" s="152"/>
      <c r="AJ13" s="173">
        <v>8.5176988831796994</v>
      </c>
      <c r="AK13" s="169"/>
      <c r="AL13" s="173">
        <v>8.520503405870345</v>
      </c>
      <c r="AM13" s="169"/>
      <c r="AN13" s="38"/>
      <c r="AO13" s="55"/>
      <c r="AP13" s="38"/>
      <c r="AQ13" s="55"/>
      <c r="AR13" s="38"/>
      <c r="AS13" s="55"/>
      <c r="AT13" s="38"/>
      <c r="AU13" s="55"/>
      <c r="AV13" s="38"/>
      <c r="AW13" s="55"/>
      <c r="AX13" s="38"/>
      <c r="AY13" s="55"/>
      <c r="AZ13" s="38"/>
      <c r="BA13" s="55"/>
      <c r="BB13" s="38"/>
      <c r="BC13" s="55"/>
      <c r="BD13" s="72">
        <v>7.7035879691826539</v>
      </c>
      <c r="BE13" s="68"/>
      <c r="BF13" s="72">
        <v>7.7130133780070418</v>
      </c>
      <c r="BG13" s="68"/>
      <c r="BH13" s="72">
        <v>8.6206539803331594</v>
      </c>
      <c r="BI13" s="68"/>
      <c r="BJ13" s="72">
        <v>10.438913248471019</v>
      </c>
      <c r="BK13" s="68"/>
      <c r="BL13" s="88">
        <v>7.8974849203194362</v>
      </c>
      <c r="BM13" s="84"/>
      <c r="BN13" s="88">
        <v>9.5418878341279783</v>
      </c>
      <c r="BO13" s="84"/>
      <c r="BP13" s="104">
        <v>8.1870730425643714</v>
      </c>
      <c r="BQ13" s="100"/>
      <c r="BR13" s="104">
        <v>8.6377186251910683</v>
      </c>
      <c r="BS13" s="100"/>
      <c r="BT13" s="120">
        <v>8.7871328795097394</v>
      </c>
      <c r="BU13" s="116"/>
      <c r="BV13" s="120">
        <v>8.3813625019591225</v>
      </c>
      <c r="BW13" s="116"/>
      <c r="BX13" s="38"/>
      <c r="BY13" s="55"/>
      <c r="BZ13" s="38"/>
      <c r="CA13" s="55"/>
      <c r="CB13" s="38"/>
      <c r="CC13" s="55"/>
      <c r="CD13" s="38"/>
      <c r="CE13" s="55"/>
      <c r="CF13" s="38"/>
      <c r="CG13" s="55"/>
      <c r="CH13" s="38"/>
      <c r="CI13" s="55"/>
      <c r="CJ13" s="38"/>
      <c r="CK13" s="55"/>
      <c r="CL13" s="156">
        <v>7.5017800320441834</v>
      </c>
      <c r="CM13" s="152"/>
      <c r="CN13" s="156">
        <v>10.521436535018076</v>
      </c>
      <c r="CO13" s="152"/>
      <c r="CP13" s="156">
        <v>10.0929407330459</v>
      </c>
      <c r="CQ13" s="152"/>
      <c r="CR13" s="173">
        <v>9.4156256730092114</v>
      </c>
      <c r="CS13" s="169"/>
      <c r="CT13" s="173">
        <v>8.3297952808728404</v>
      </c>
      <c r="CU13" s="169"/>
      <c r="CV13" s="173">
        <v>6.9595515474048861</v>
      </c>
      <c r="CW13" s="169"/>
      <c r="CX13" s="38"/>
      <c r="CY13" s="55"/>
      <c r="CZ13" s="38"/>
      <c r="DA13" s="55"/>
      <c r="DB13" s="72">
        <v>12.115022926501132</v>
      </c>
      <c r="DC13" s="68" t="s">
        <v>245</v>
      </c>
      <c r="DD13" s="72">
        <v>7.5718886146977962</v>
      </c>
      <c r="DE13" s="68"/>
      <c r="DF13" s="72">
        <v>5.4430282763902902</v>
      </c>
      <c r="DG13" s="68"/>
    </row>
    <row r="14" spans="1:111" outlineLevel="1" x14ac:dyDescent="0.2">
      <c r="A14" s="30"/>
      <c r="B14" s="37" t="s">
        <v>59</v>
      </c>
      <c r="C14" s="38">
        <v>41.787559927614318</v>
      </c>
      <c r="D14" s="72">
        <v>67.253712522918775</v>
      </c>
      <c r="E14" s="68" t="s">
        <v>175</v>
      </c>
      <c r="F14" s="72">
        <v>0</v>
      </c>
      <c r="G14" s="68"/>
      <c r="H14" s="88">
        <v>61.34867383067224</v>
      </c>
      <c r="I14" s="84" t="s">
        <v>177</v>
      </c>
      <c r="J14" s="88">
        <v>0</v>
      </c>
      <c r="K14" s="84"/>
      <c r="L14" s="136"/>
      <c r="M14" s="132"/>
      <c r="N14" s="136"/>
      <c r="O14" s="132"/>
      <c r="P14" s="104">
        <v>0</v>
      </c>
      <c r="Q14" s="100"/>
      <c r="R14" s="104">
        <v>0</v>
      </c>
      <c r="S14" s="100"/>
      <c r="T14" s="104">
        <v>0</v>
      </c>
      <c r="U14" s="100"/>
      <c r="V14" s="120">
        <v>0</v>
      </c>
      <c r="W14" s="116"/>
      <c r="X14" s="120">
        <v>0</v>
      </c>
      <c r="Y14" s="116"/>
      <c r="Z14" s="120">
        <v>0</v>
      </c>
      <c r="AA14" s="116"/>
      <c r="AB14" s="156">
        <v>24.245067463874918</v>
      </c>
      <c r="AC14" s="152"/>
      <c r="AD14" s="156">
        <v>30.709241837433115</v>
      </c>
      <c r="AE14" s="152" t="s">
        <v>170</v>
      </c>
      <c r="AF14" s="156">
        <v>48.864290999418635</v>
      </c>
      <c r="AG14" s="152" t="s">
        <v>240</v>
      </c>
      <c r="AH14" s="156">
        <v>79.570529957540501</v>
      </c>
      <c r="AI14" s="152" t="s">
        <v>241</v>
      </c>
      <c r="AJ14" s="173">
        <v>43.376045355287694</v>
      </c>
      <c r="AK14" s="169"/>
      <c r="AL14" s="173">
        <v>40.239312380391056</v>
      </c>
      <c r="AM14" s="169"/>
      <c r="AN14" s="38"/>
      <c r="AO14" s="55"/>
      <c r="AP14" s="38"/>
      <c r="AQ14" s="55"/>
      <c r="AR14" s="38"/>
      <c r="AS14" s="55"/>
      <c r="AT14" s="38"/>
      <c r="AU14" s="55"/>
      <c r="AV14" s="38"/>
      <c r="AW14" s="55"/>
      <c r="AX14" s="38"/>
      <c r="AY14" s="55"/>
      <c r="AZ14" s="38"/>
      <c r="BA14" s="55"/>
      <c r="BB14" s="38"/>
      <c r="BC14" s="55"/>
      <c r="BD14" s="72">
        <v>48.501869204603516</v>
      </c>
      <c r="BE14" s="68" t="s">
        <v>192</v>
      </c>
      <c r="BF14" s="72">
        <v>38.068261453784523</v>
      </c>
      <c r="BG14" s="68"/>
      <c r="BH14" s="72">
        <v>41.902736290749282</v>
      </c>
      <c r="BI14" s="68"/>
      <c r="BJ14" s="72">
        <v>41.821862291226189</v>
      </c>
      <c r="BK14" s="68"/>
      <c r="BL14" s="88">
        <v>33.961933120665499</v>
      </c>
      <c r="BM14" s="84"/>
      <c r="BN14" s="88">
        <v>49.725912202722746</v>
      </c>
      <c r="BO14" s="84" t="s">
        <v>195</v>
      </c>
      <c r="BP14" s="104">
        <v>26.871349408416954</v>
      </c>
      <c r="BQ14" s="100"/>
      <c r="BR14" s="104">
        <v>48.300290920721558</v>
      </c>
      <c r="BS14" s="100" t="s">
        <v>197</v>
      </c>
      <c r="BT14" s="120">
        <v>49.955560300920247</v>
      </c>
      <c r="BU14" s="116" t="s">
        <v>200</v>
      </c>
      <c r="BV14" s="120">
        <v>35.814856898802645</v>
      </c>
      <c r="BW14" s="116"/>
      <c r="BX14" s="38"/>
      <c r="BY14" s="55"/>
      <c r="BZ14" s="38"/>
      <c r="CA14" s="55"/>
      <c r="CB14" s="38"/>
      <c r="CC14" s="55"/>
      <c r="CD14" s="38"/>
      <c r="CE14" s="55"/>
      <c r="CF14" s="38"/>
      <c r="CG14" s="55"/>
      <c r="CH14" s="38"/>
      <c r="CI14" s="55"/>
      <c r="CJ14" s="38"/>
      <c r="CK14" s="55"/>
      <c r="CL14" s="156">
        <v>44.452446272609293</v>
      </c>
      <c r="CM14" s="152" t="s">
        <v>246</v>
      </c>
      <c r="CN14" s="156">
        <v>31.328321902766984</v>
      </c>
      <c r="CO14" s="152"/>
      <c r="CP14" s="156">
        <v>32.689554390434154</v>
      </c>
      <c r="CQ14" s="152"/>
      <c r="CR14" s="173">
        <v>49.344153107966669</v>
      </c>
      <c r="CS14" s="169" t="s">
        <v>243</v>
      </c>
      <c r="CT14" s="173">
        <v>40.455743699956663</v>
      </c>
      <c r="CU14" s="169"/>
      <c r="CV14" s="173">
        <v>38.109994311427513</v>
      </c>
      <c r="CW14" s="169"/>
      <c r="CX14" s="38"/>
      <c r="CY14" s="55"/>
      <c r="CZ14" s="38"/>
      <c r="DA14" s="55"/>
      <c r="DB14" s="72">
        <v>35.961763316151568</v>
      </c>
      <c r="DC14" s="68"/>
      <c r="DD14" s="72">
        <v>48.419290681871423</v>
      </c>
      <c r="DE14" s="68" t="s">
        <v>247</v>
      </c>
      <c r="DF14" s="72">
        <v>35.166197869865016</v>
      </c>
      <c r="DG14" s="68"/>
    </row>
    <row r="15" spans="1:111" outlineLevel="1" x14ac:dyDescent="0.2">
      <c r="A15" s="30"/>
      <c r="B15" s="29"/>
      <c r="E15" s="66"/>
      <c r="G15" s="66"/>
      <c r="I15" s="82"/>
      <c r="K15" s="82"/>
      <c r="M15" s="130"/>
      <c r="O15" s="130"/>
      <c r="Q15" s="98"/>
      <c r="S15" s="98"/>
      <c r="U15" s="98"/>
      <c r="W15" s="114"/>
      <c r="Y15" s="114"/>
      <c r="AA15" s="114"/>
      <c r="AC15" s="150"/>
      <c r="AE15" s="150"/>
      <c r="AG15" s="150"/>
      <c r="AI15" s="150"/>
      <c r="AK15" s="167"/>
      <c r="AM15" s="167"/>
      <c r="AO15" s="54"/>
      <c r="AQ15" s="54"/>
      <c r="AS15" s="54"/>
      <c r="AU15" s="54"/>
      <c r="AW15" s="54"/>
      <c r="AY15" s="54"/>
      <c r="BA15" s="54"/>
      <c r="BC15" s="54"/>
      <c r="BE15" s="66"/>
      <c r="BG15" s="66"/>
      <c r="BI15" s="66"/>
      <c r="BK15" s="66"/>
      <c r="BM15" s="82"/>
      <c r="BO15" s="82"/>
      <c r="BQ15" s="98"/>
      <c r="BS15" s="98"/>
      <c r="BU15" s="114"/>
      <c r="BW15" s="114"/>
      <c r="BY15" s="54"/>
      <c r="CA15" s="54"/>
      <c r="CC15" s="54"/>
      <c r="CE15" s="54"/>
      <c r="CG15" s="54"/>
      <c r="CI15" s="54"/>
      <c r="CK15" s="54"/>
      <c r="CM15" s="150"/>
      <c r="CO15" s="150"/>
      <c r="CQ15" s="150"/>
      <c r="CS15" s="167"/>
      <c r="CU15" s="167"/>
      <c r="CW15" s="167"/>
      <c r="CY15" s="54"/>
      <c r="DA15" s="54"/>
      <c r="DC15" s="66"/>
      <c r="DE15" s="66"/>
      <c r="DG15" s="66"/>
    </row>
    <row r="16" spans="1:111" outlineLevel="1" x14ac:dyDescent="0.2">
      <c r="A16" s="30"/>
      <c r="B16" s="32" t="s">
        <v>60</v>
      </c>
      <c r="C16" s="38">
        <v>37.865794526400428</v>
      </c>
      <c r="D16" s="72">
        <v>0</v>
      </c>
      <c r="E16" s="68"/>
      <c r="F16" s="72">
        <v>100</v>
      </c>
      <c r="G16" s="68" t="s">
        <v>174</v>
      </c>
      <c r="H16" s="88">
        <v>8.7802419684031712</v>
      </c>
      <c r="I16" s="84"/>
      <c r="J16" s="88">
        <v>100</v>
      </c>
      <c r="K16" s="84" t="s">
        <v>176</v>
      </c>
      <c r="L16" s="136"/>
      <c r="M16" s="132"/>
      <c r="N16" s="136"/>
      <c r="O16" s="132"/>
      <c r="P16" s="104">
        <v>100</v>
      </c>
      <c r="Q16" s="100"/>
      <c r="R16" s="104">
        <v>99.999999999999986</v>
      </c>
      <c r="S16" s="100"/>
      <c r="T16" s="104">
        <v>100</v>
      </c>
      <c r="U16" s="100"/>
      <c r="V16" s="120">
        <v>100</v>
      </c>
      <c r="W16" s="116"/>
      <c r="X16" s="120">
        <v>100</v>
      </c>
      <c r="Y16" s="116"/>
      <c r="Z16" s="120">
        <v>100</v>
      </c>
      <c r="AA16" s="116"/>
      <c r="AB16" s="156">
        <v>49.323390705483718</v>
      </c>
      <c r="AC16" s="152" t="s">
        <v>244</v>
      </c>
      <c r="AD16" s="156">
        <v>44.006811930665222</v>
      </c>
      <c r="AE16" s="152" t="s">
        <v>244</v>
      </c>
      <c r="AF16" s="156">
        <v>37.150322393108191</v>
      </c>
      <c r="AG16" s="152" t="s">
        <v>173</v>
      </c>
      <c r="AH16" s="156">
        <v>12.463254180426691</v>
      </c>
      <c r="AI16" s="152"/>
      <c r="AJ16" s="173">
        <v>32.106728631657226</v>
      </c>
      <c r="AK16" s="169"/>
      <c r="AL16" s="173">
        <v>43.478977682189935</v>
      </c>
      <c r="AM16" s="169" t="s">
        <v>186</v>
      </c>
      <c r="AN16" s="38"/>
      <c r="AO16" s="55"/>
      <c r="AP16" s="38"/>
      <c r="AQ16" s="55"/>
      <c r="AR16" s="38"/>
      <c r="AS16" s="55"/>
      <c r="AT16" s="38"/>
      <c r="AU16" s="55"/>
      <c r="AV16" s="38"/>
      <c r="AW16" s="55"/>
      <c r="AX16" s="38"/>
      <c r="AY16" s="55"/>
      <c r="AZ16" s="38"/>
      <c r="BA16" s="55"/>
      <c r="BB16" s="38"/>
      <c r="BC16" s="55"/>
      <c r="BD16" s="72">
        <v>30.949285376464999</v>
      </c>
      <c r="BE16" s="68"/>
      <c r="BF16" s="72">
        <v>43.313890589349121</v>
      </c>
      <c r="BG16" s="68" t="s">
        <v>248</v>
      </c>
      <c r="BH16" s="72">
        <v>38.945161178100484</v>
      </c>
      <c r="BI16" s="68" t="s">
        <v>191</v>
      </c>
      <c r="BJ16" s="72">
        <v>33.969097326260375</v>
      </c>
      <c r="BK16" s="68"/>
      <c r="BL16" s="88">
        <v>49.356302972942551</v>
      </c>
      <c r="BM16" s="84" t="s">
        <v>196</v>
      </c>
      <c r="BN16" s="88">
        <v>25.715055541112537</v>
      </c>
      <c r="BO16" s="84"/>
      <c r="BP16" s="104">
        <v>53.857457357281184</v>
      </c>
      <c r="BQ16" s="100" t="s">
        <v>198</v>
      </c>
      <c r="BR16" s="104">
        <v>30.856524608375807</v>
      </c>
      <c r="BS16" s="100"/>
      <c r="BT16" s="120">
        <v>26.870290906887288</v>
      </c>
      <c r="BU16" s="116"/>
      <c r="BV16" s="120">
        <v>46.043882677595235</v>
      </c>
      <c r="BW16" s="116" t="s">
        <v>199</v>
      </c>
      <c r="BX16" s="38"/>
      <c r="BY16" s="55"/>
      <c r="BZ16" s="38"/>
      <c r="CA16" s="55"/>
      <c r="CB16" s="38"/>
      <c r="CC16" s="55"/>
      <c r="CD16" s="38"/>
      <c r="CE16" s="55"/>
      <c r="CF16" s="38"/>
      <c r="CG16" s="55"/>
      <c r="CH16" s="38"/>
      <c r="CI16" s="55"/>
      <c r="CJ16" s="38"/>
      <c r="CK16" s="55"/>
      <c r="CL16" s="156">
        <v>37.017135198032619</v>
      </c>
      <c r="CM16" s="152"/>
      <c r="CN16" s="156">
        <v>44.936484340687187</v>
      </c>
      <c r="CO16" s="152" t="s">
        <v>201</v>
      </c>
      <c r="CP16" s="156">
        <v>38.568344312099995</v>
      </c>
      <c r="CQ16" s="152"/>
      <c r="CR16" s="173">
        <v>26.277546847676291</v>
      </c>
      <c r="CS16" s="169"/>
      <c r="CT16" s="173">
        <v>41.284595223200427</v>
      </c>
      <c r="CU16" s="169" t="s">
        <v>48</v>
      </c>
      <c r="CV16" s="173">
        <v>44.504822814709357</v>
      </c>
      <c r="CW16" s="169" t="s">
        <v>48</v>
      </c>
      <c r="CX16" s="38"/>
      <c r="CY16" s="55"/>
      <c r="CZ16" s="38"/>
      <c r="DA16" s="55"/>
      <c r="DB16" s="72">
        <v>33.788813105490838</v>
      </c>
      <c r="DC16" s="68"/>
      <c r="DD16" s="72">
        <v>33.795602098158547</v>
      </c>
      <c r="DE16" s="68"/>
      <c r="DF16" s="72">
        <v>53.065529641657456</v>
      </c>
      <c r="DG16" s="68" t="s">
        <v>249</v>
      </c>
    </row>
    <row r="17" spans="1:111" outlineLevel="1" x14ac:dyDescent="0.2">
      <c r="A17" s="30"/>
      <c r="B17" s="30"/>
      <c r="E17" s="66"/>
      <c r="G17" s="66"/>
      <c r="I17" s="82"/>
      <c r="K17" s="82"/>
      <c r="M17" s="130"/>
      <c r="O17" s="130"/>
      <c r="Q17" s="98"/>
      <c r="S17" s="98"/>
      <c r="U17" s="98"/>
      <c r="W17" s="114"/>
      <c r="Y17" s="114"/>
      <c r="AA17" s="114"/>
      <c r="AC17" s="150"/>
      <c r="AE17" s="150"/>
      <c r="AG17" s="150"/>
      <c r="AI17" s="150"/>
      <c r="AK17" s="167"/>
      <c r="AM17" s="167"/>
      <c r="AO17" s="54"/>
      <c r="AQ17" s="54"/>
      <c r="AS17" s="54"/>
      <c r="AU17" s="54"/>
      <c r="AW17" s="54"/>
      <c r="AY17" s="54"/>
      <c r="BA17" s="54"/>
      <c r="BC17" s="54"/>
      <c r="BE17" s="66"/>
      <c r="BG17" s="66"/>
      <c r="BI17" s="66"/>
      <c r="BK17" s="66"/>
      <c r="BM17" s="82"/>
      <c r="BO17" s="82"/>
      <c r="BQ17" s="98"/>
      <c r="BS17" s="98"/>
      <c r="BU17" s="114"/>
      <c r="BW17" s="114"/>
      <c r="BY17" s="54"/>
      <c r="CA17" s="54"/>
      <c r="CC17" s="54"/>
      <c r="CE17" s="54"/>
      <c r="CG17" s="54"/>
      <c r="CI17" s="54"/>
      <c r="CK17" s="54"/>
      <c r="CM17" s="150"/>
      <c r="CO17" s="150"/>
      <c r="CQ17" s="150"/>
      <c r="CS17" s="167"/>
      <c r="CU17" s="167"/>
      <c r="CW17" s="167"/>
      <c r="CY17" s="54"/>
      <c r="DA17" s="54"/>
      <c r="DC17" s="66"/>
      <c r="DE17" s="66"/>
      <c r="DG17" s="66"/>
    </row>
    <row r="18" spans="1:111" x14ac:dyDescent="0.2">
      <c r="A18" s="30"/>
      <c r="B18" s="30"/>
      <c r="E18" s="66"/>
      <c r="G18" s="66"/>
      <c r="I18" s="82"/>
      <c r="K18" s="82"/>
      <c r="M18" s="130"/>
      <c r="O18" s="130"/>
      <c r="Q18" s="98"/>
      <c r="S18" s="98"/>
      <c r="U18" s="98"/>
      <c r="W18" s="114"/>
      <c r="Y18" s="114"/>
      <c r="AA18" s="114"/>
      <c r="AC18" s="150"/>
      <c r="AE18" s="150"/>
      <c r="AG18" s="150"/>
      <c r="AI18" s="150"/>
      <c r="AK18" s="167"/>
      <c r="AM18" s="167"/>
      <c r="AO18" s="54"/>
      <c r="AQ18" s="54"/>
      <c r="AS18" s="54"/>
      <c r="AU18" s="54"/>
      <c r="AW18" s="54"/>
      <c r="AY18" s="54"/>
      <c r="BA18" s="54"/>
      <c r="BC18" s="54"/>
      <c r="BE18" s="66"/>
      <c r="BG18" s="66"/>
      <c r="BI18" s="66"/>
      <c r="BK18" s="66"/>
      <c r="BM18" s="82"/>
      <c r="BO18" s="82"/>
      <c r="BQ18" s="98"/>
      <c r="BS18" s="98"/>
      <c r="BU18" s="114"/>
      <c r="BW18" s="114"/>
      <c r="BY18" s="54"/>
      <c r="CA18" s="54"/>
      <c r="CC18" s="54"/>
      <c r="CE18" s="54"/>
      <c r="CG18" s="54"/>
      <c r="CI18" s="54"/>
      <c r="CK18" s="54"/>
      <c r="CM18" s="150"/>
      <c r="CO18" s="150"/>
      <c r="CQ18" s="150"/>
      <c r="CS18" s="167"/>
      <c r="CU18" s="167"/>
      <c r="CW18" s="167"/>
      <c r="CY18" s="54"/>
      <c r="DA18" s="54"/>
      <c r="DC18" s="66"/>
      <c r="DE18" s="66"/>
      <c r="DG18" s="66"/>
    </row>
    <row r="19" spans="1:111" x14ac:dyDescent="0.2">
      <c r="A19" s="28" t="s">
        <v>61</v>
      </c>
      <c r="B19" s="29" t="s">
        <v>62</v>
      </c>
      <c r="E19" s="66"/>
      <c r="G19" s="66"/>
      <c r="I19" s="82"/>
      <c r="K19" s="82"/>
      <c r="M19" s="130"/>
      <c r="O19" s="130"/>
      <c r="Q19" s="98"/>
      <c r="S19" s="98"/>
      <c r="U19" s="98"/>
      <c r="W19" s="114"/>
      <c r="Y19" s="114"/>
      <c r="AA19" s="114"/>
      <c r="AC19" s="150"/>
      <c r="AE19" s="150"/>
      <c r="AG19" s="150"/>
      <c r="AI19" s="150"/>
      <c r="AK19" s="167"/>
      <c r="AM19" s="167"/>
      <c r="AO19" s="54"/>
      <c r="AQ19" s="54"/>
      <c r="AS19" s="54"/>
      <c r="AU19" s="54"/>
      <c r="AW19" s="54"/>
      <c r="AY19" s="54"/>
      <c r="BA19" s="54"/>
      <c r="BC19" s="54"/>
      <c r="BE19" s="66"/>
      <c r="BG19" s="66"/>
      <c r="BI19" s="66"/>
      <c r="BK19" s="66"/>
      <c r="BM19" s="82"/>
      <c r="BO19" s="82"/>
      <c r="BQ19" s="98"/>
      <c r="BS19" s="98"/>
      <c r="BU19" s="114"/>
      <c r="BW19" s="114"/>
      <c r="BY19" s="54"/>
      <c r="CA19" s="54"/>
      <c r="CC19" s="54"/>
      <c r="CE19" s="54"/>
      <c r="CG19" s="54"/>
      <c r="CI19" s="54"/>
      <c r="CK19" s="54"/>
      <c r="CM19" s="150"/>
      <c r="CO19" s="150"/>
      <c r="CQ19" s="150"/>
      <c r="CS19" s="167"/>
      <c r="CU19" s="167"/>
      <c r="CW19" s="167"/>
      <c r="CY19" s="54"/>
      <c r="DA19" s="54"/>
      <c r="DC19" s="66"/>
      <c r="DE19" s="66"/>
      <c r="DG19" s="66"/>
    </row>
    <row r="20" spans="1:111" outlineLevel="1" x14ac:dyDescent="0.2">
      <c r="A20" s="30"/>
      <c r="B20" s="32" t="s">
        <v>63</v>
      </c>
      <c r="C20" s="31">
        <f>697.229271339924+34.7707286600755</f>
        <v>731.99999999999955</v>
      </c>
      <c r="D20" s="67">
        <f>0+0</f>
        <v>0</v>
      </c>
      <c r="E20" s="68"/>
      <c r="F20" s="67">
        <f>697.229271339924+34.7707286600755</f>
        <v>731.99999999999955</v>
      </c>
      <c r="G20" s="68"/>
      <c r="H20" s="83">
        <f>108.389601570209+6.61039842979146</f>
        <v>115.00000000000045</v>
      </c>
      <c r="I20" s="84"/>
      <c r="J20" s="83">
        <f>588.872678023413+28.1273219765872</f>
        <v>617.00000000000011</v>
      </c>
      <c r="K20" s="84"/>
      <c r="L20" s="131"/>
      <c r="M20" s="132"/>
      <c r="N20" s="131"/>
      <c r="O20" s="132"/>
      <c r="P20" s="99">
        <f>197.775455801689+12.2245441983108</f>
        <v>209.9999999999998</v>
      </c>
      <c r="Q20" s="100"/>
      <c r="R20" s="99">
        <f>183.624369897672+9.37563010232844</f>
        <v>193.00000000000045</v>
      </c>
      <c r="S20" s="100"/>
      <c r="T20" s="99">
        <f>202.167219603481+6.83278039651879</f>
        <v>208.99999999999977</v>
      </c>
      <c r="U20" s="100"/>
      <c r="V20" s="115">
        <f>142.903095748811+7.09690425118887</f>
        <v>149.99999999999989</v>
      </c>
      <c r="W20" s="116"/>
      <c r="X20" s="115">
        <f>159.312800786456+8.68719921354355</f>
        <v>167.99999999999955</v>
      </c>
      <c r="Y20" s="116"/>
      <c r="Z20" s="115">
        <f>187.399553476067+6.60044652393256</f>
        <v>193.99999999999957</v>
      </c>
      <c r="AA20" s="116"/>
      <c r="AB20" s="151">
        <f>208.712119511624+8.28788048837572</f>
        <v>216.99999999999972</v>
      </c>
      <c r="AC20" s="152"/>
      <c r="AD20" s="151">
        <f>325.192210296743+17.807789703257</f>
        <v>343</v>
      </c>
      <c r="AE20" s="152"/>
      <c r="AF20" s="151">
        <f>115.004887560678+3.99511243932177</f>
        <v>118.99999999999977</v>
      </c>
      <c r="AG20" s="152"/>
      <c r="AH20" s="151">
        <f>51.6589616511431+1.34103834885692</f>
        <v>53.000000000000021</v>
      </c>
      <c r="AI20" s="152"/>
      <c r="AJ20" s="168">
        <f>285.680783112892+11.319216887108</f>
        <v>297</v>
      </c>
      <c r="AK20" s="169"/>
      <c r="AL20" s="168">
        <f>411.777536847407+23.2224631525931</f>
        <v>435.00000000000011</v>
      </c>
      <c r="AM20" s="169"/>
      <c r="AN20" s="31"/>
      <c r="AO20" s="55"/>
      <c r="AP20" s="31"/>
      <c r="AQ20" s="55"/>
      <c r="AR20" s="31"/>
      <c r="AS20" s="55"/>
      <c r="AT20" s="31"/>
      <c r="AU20" s="55"/>
      <c r="AV20" s="31"/>
      <c r="AW20" s="55"/>
      <c r="AX20" s="31"/>
      <c r="AY20" s="55"/>
      <c r="AZ20" s="31"/>
      <c r="BA20" s="55"/>
      <c r="BB20" s="31"/>
      <c r="BC20" s="55"/>
      <c r="BD20" s="67">
        <f>114.303400105512+3.69659989448833</f>
        <v>118.00000000000033</v>
      </c>
      <c r="BE20" s="68"/>
      <c r="BF20" s="67">
        <f>320.143729237325+8.85627076267514</f>
        <v>329.00000000000011</v>
      </c>
      <c r="BG20" s="68"/>
      <c r="BH20" s="67">
        <f>154.033955500815+4.96604449918459</f>
        <v>158.9999999999996</v>
      </c>
      <c r="BI20" s="68"/>
      <c r="BJ20" s="67">
        <f>116.914459213077+9.08554078692349</f>
        <v>126.00000000000048</v>
      </c>
      <c r="BK20" s="68"/>
      <c r="BL20" s="83">
        <f>437.557569429027+19.4424305709727</f>
        <v>456.99999999999972</v>
      </c>
      <c r="BM20" s="84"/>
      <c r="BN20" s="83">
        <f>224.770174492461+13.2298255075391</f>
        <v>238.00000000000009</v>
      </c>
      <c r="BO20" s="84"/>
      <c r="BP20" s="99">
        <f>305.676105764278+10.3238942357225</f>
        <v>316.00000000000051</v>
      </c>
      <c r="BQ20" s="100"/>
      <c r="BR20" s="99">
        <f>387.334736028857+23.6652639711435</f>
        <v>411.00000000000045</v>
      </c>
      <c r="BS20" s="100"/>
      <c r="BT20" s="115">
        <f>203.733293028276+11.2667069717237</f>
        <v>214.99999999999969</v>
      </c>
      <c r="BU20" s="116"/>
      <c r="BV20" s="115">
        <f>489.286603261412+22.713396738588</f>
        <v>512</v>
      </c>
      <c r="BW20" s="116"/>
      <c r="BX20" s="31"/>
      <c r="BY20" s="55"/>
      <c r="BZ20" s="31"/>
      <c r="CA20" s="55"/>
      <c r="CB20" s="31"/>
      <c r="CC20" s="55"/>
      <c r="CD20" s="31"/>
      <c r="CE20" s="55"/>
      <c r="CF20" s="31"/>
      <c r="CG20" s="55"/>
      <c r="CH20" s="31"/>
      <c r="CI20" s="55"/>
      <c r="CJ20" s="31"/>
      <c r="CK20" s="55"/>
      <c r="CL20" s="151">
        <f>486.495760961447+20.504239038553</f>
        <v>507</v>
      </c>
      <c r="CM20" s="152"/>
      <c r="CN20" s="151">
        <f>130.574243824643+9.42575617535672</f>
        <v>139.99999999999972</v>
      </c>
      <c r="CO20" s="152"/>
      <c r="CP20" s="151">
        <f>102.931344042743+8.06865595725701</f>
        <v>111.00000000000001</v>
      </c>
      <c r="CQ20" s="152"/>
      <c r="CR20" s="168">
        <f>197.775455801689+12.2245441983108</f>
        <v>209.9999999999998</v>
      </c>
      <c r="CS20" s="169"/>
      <c r="CT20" s="168">
        <f>202.167219603481+6.83278039651879</f>
        <v>208.99999999999977</v>
      </c>
      <c r="CU20" s="169"/>
      <c r="CV20" s="168">
        <f>183.624369897672+9.37563010232844</f>
        <v>193.00000000000045</v>
      </c>
      <c r="CW20" s="169"/>
      <c r="CX20" s="31"/>
      <c r="CY20" s="55"/>
      <c r="CZ20" s="31"/>
      <c r="DA20" s="55"/>
      <c r="DB20" s="67">
        <f>189.847824869749+11.1521751302509</f>
        <v>200.99999999999989</v>
      </c>
      <c r="DC20" s="68"/>
      <c r="DD20" s="67">
        <f>301.510371446147+14.4896285538527</f>
        <v>315.99999999999972</v>
      </c>
      <c r="DE20" s="68"/>
      <c r="DF20" s="67">
        <f>205.898931548757+9.10106845124318</f>
        <v>215.00000000000017</v>
      </c>
      <c r="DG20" s="68"/>
    </row>
    <row r="21" spans="1:111" s="35" customFormat="1" outlineLevel="1" x14ac:dyDescent="0.2">
      <c r="A21" s="30"/>
      <c r="B21" s="33"/>
      <c r="C21" s="34" t="s">
        <v>167</v>
      </c>
      <c r="D21" s="69" t="s">
        <v>167</v>
      </c>
      <c r="E21" s="70"/>
      <c r="F21" s="69" t="s">
        <v>167</v>
      </c>
      <c r="G21" s="70"/>
      <c r="H21" s="85" t="s">
        <v>167</v>
      </c>
      <c r="I21" s="86"/>
      <c r="J21" s="85" t="s">
        <v>167</v>
      </c>
      <c r="K21" s="86"/>
      <c r="L21" s="133"/>
      <c r="M21" s="134"/>
      <c r="N21" s="133"/>
      <c r="O21" s="134"/>
      <c r="P21" s="101" t="s">
        <v>167</v>
      </c>
      <c r="Q21" s="102"/>
      <c r="R21" s="101" t="s">
        <v>167</v>
      </c>
      <c r="S21" s="102"/>
      <c r="T21" s="101" t="s">
        <v>167</v>
      </c>
      <c r="U21" s="102"/>
      <c r="V21" s="117" t="s">
        <v>167</v>
      </c>
      <c r="W21" s="118"/>
      <c r="X21" s="117" t="s">
        <v>167</v>
      </c>
      <c r="Y21" s="118"/>
      <c r="Z21" s="117" t="s">
        <v>167</v>
      </c>
      <c r="AA21" s="118"/>
      <c r="AB21" s="153" t="s">
        <v>167</v>
      </c>
      <c r="AC21" s="154"/>
      <c r="AD21" s="153" t="s">
        <v>167</v>
      </c>
      <c r="AE21" s="154"/>
      <c r="AF21" s="153" t="s">
        <v>167</v>
      </c>
      <c r="AG21" s="154"/>
      <c r="AH21" s="153" t="s">
        <v>167</v>
      </c>
      <c r="AI21" s="154"/>
      <c r="AJ21" s="170" t="s">
        <v>167</v>
      </c>
      <c r="AK21" s="171"/>
      <c r="AL21" s="170" t="s">
        <v>167</v>
      </c>
      <c r="AM21" s="171"/>
      <c r="AN21" s="34"/>
      <c r="AO21" s="56"/>
      <c r="AP21" s="34"/>
      <c r="AQ21" s="56"/>
      <c r="AR21" s="34"/>
      <c r="AS21" s="56"/>
      <c r="AT21" s="34"/>
      <c r="AU21" s="56"/>
      <c r="AV21" s="34"/>
      <c r="AW21" s="56"/>
      <c r="AX21" s="34"/>
      <c r="AY21" s="56"/>
      <c r="AZ21" s="34"/>
      <c r="BA21" s="56"/>
      <c r="BB21" s="34"/>
      <c r="BC21" s="56"/>
      <c r="BD21" s="69" t="s">
        <v>167</v>
      </c>
      <c r="BE21" s="70"/>
      <c r="BF21" s="69" t="s">
        <v>167</v>
      </c>
      <c r="BG21" s="70"/>
      <c r="BH21" s="69" t="s">
        <v>167</v>
      </c>
      <c r="BI21" s="70"/>
      <c r="BJ21" s="69" t="s">
        <v>167</v>
      </c>
      <c r="BK21" s="70"/>
      <c r="BL21" s="85" t="s">
        <v>167</v>
      </c>
      <c r="BM21" s="86"/>
      <c r="BN21" s="85" t="s">
        <v>167</v>
      </c>
      <c r="BO21" s="86"/>
      <c r="BP21" s="101" t="s">
        <v>167</v>
      </c>
      <c r="BQ21" s="102"/>
      <c r="BR21" s="101" t="s">
        <v>167</v>
      </c>
      <c r="BS21" s="102"/>
      <c r="BT21" s="117" t="s">
        <v>167</v>
      </c>
      <c r="BU21" s="118"/>
      <c r="BV21" s="117" t="s">
        <v>167</v>
      </c>
      <c r="BW21" s="118"/>
      <c r="BX21" s="34"/>
      <c r="BY21" s="56"/>
      <c r="BZ21" s="34"/>
      <c r="CA21" s="56"/>
      <c r="CB21" s="34"/>
      <c r="CC21" s="56"/>
      <c r="CD21" s="34"/>
      <c r="CE21" s="56"/>
      <c r="CF21" s="34"/>
      <c r="CG21" s="56"/>
      <c r="CH21" s="34"/>
      <c r="CI21" s="56"/>
      <c r="CJ21" s="34"/>
      <c r="CK21" s="56"/>
      <c r="CL21" s="153" t="s">
        <v>167</v>
      </c>
      <c r="CM21" s="154"/>
      <c r="CN21" s="153" t="s">
        <v>167</v>
      </c>
      <c r="CO21" s="154"/>
      <c r="CP21" s="153" t="s">
        <v>167</v>
      </c>
      <c r="CQ21" s="154"/>
      <c r="CR21" s="170" t="s">
        <v>167</v>
      </c>
      <c r="CS21" s="171"/>
      <c r="CT21" s="170" t="s">
        <v>167</v>
      </c>
      <c r="CU21" s="171"/>
      <c r="CV21" s="170" t="s">
        <v>167</v>
      </c>
      <c r="CW21" s="171"/>
      <c r="CX21" s="34"/>
      <c r="CY21" s="56"/>
      <c r="CZ21" s="34"/>
      <c r="DA21" s="56"/>
      <c r="DB21" s="69" t="s">
        <v>167</v>
      </c>
      <c r="DC21" s="70"/>
      <c r="DD21" s="69" t="s">
        <v>167</v>
      </c>
      <c r="DE21" s="70"/>
      <c r="DF21" s="69" t="s">
        <v>167</v>
      </c>
      <c r="DG21" s="70"/>
    </row>
    <row r="22" spans="1:111" outlineLevel="1" x14ac:dyDescent="0.2">
      <c r="A22" s="30"/>
      <c r="B22" s="30"/>
      <c r="E22" s="66"/>
      <c r="G22" s="66"/>
      <c r="I22" s="82"/>
      <c r="K22" s="82"/>
      <c r="M22" s="130"/>
      <c r="O22" s="130"/>
      <c r="Q22" s="98"/>
      <c r="S22" s="98"/>
      <c r="U22" s="98"/>
      <c r="W22" s="114"/>
      <c r="Y22" s="114"/>
      <c r="AA22" s="114"/>
      <c r="AC22" s="150"/>
      <c r="AE22" s="150"/>
      <c r="AG22" s="150"/>
      <c r="AI22" s="150"/>
      <c r="AK22" s="167"/>
      <c r="AM22" s="167"/>
      <c r="AO22" s="54"/>
      <c r="AQ22" s="54"/>
      <c r="AS22" s="54"/>
      <c r="AU22" s="54"/>
      <c r="AW22" s="54"/>
      <c r="AY22" s="54"/>
      <c r="BA22" s="54"/>
      <c r="BC22" s="54"/>
      <c r="BE22" s="66"/>
      <c r="BG22" s="66"/>
      <c r="BI22" s="66"/>
      <c r="BK22" s="66"/>
      <c r="BM22" s="82"/>
      <c r="BO22" s="82"/>
      <c r="BQ22" s="98"/>
      <c r="BS22" s="98"/>
      <c r="BU22" s="114"/>
      <c r="BW22" s="114"/>
      <c r="BY22" s="54"/>
      <c r="CA22" s="54"/>
      <c r="CC22" s="54"/>
      <c r="CE22" s="54"/>
      <c r="CG22" s="54"/>
      <c r="CI22" s="54"/>
      <c r="CK22" s="54"/>
      <c r="CM22" s="150"/>
      <c r="CO22" s="150"/>
      <c r="CQ22" s="150"/>
      <c r="CS22" s="167"/>
      <c r="CU22" s="167"/>
      <c r="CW22" s="167"/>
      <c r="CY22" s="54"/>
      <c r="DA22" s="54"/>
      <c r="DC22" s="66"/>
      <c r="DE22" s="66"/>
      <c r="DG22" s="66"/>
    </row>
    <row r="23" spans="1:111" outlineLevel="1" x14ac:dyDescent="0.2">
      <c r="A23" s="30"/>
      <c r="B23" s="32" t="s">
        <v>64</v>
      </c>
      <c r="C23" s="38">
        <v>15.794331316121873</v>
      </c>
      <c r="D23" s="72">
        <v>0</v>
      </c>
      <c r="E23" s="68"/>
      <c r="F23" s="72">
        <v>15.794331316121873</v>
      </c>
      <c r="G23" s="68"/>
      <c r="H23" s="88">
        <v>100.00000000000001</v>
      </c>
      <c r="I23" s="84" t="s">
        <v>177</v>
      </c>
      <c r="J23" s="88">
        <v>0</v>
      </c>
      <c r="K23" s="84"/>
      <c r="L23" s="136"/>
      <c r="M23" s="132"/>
      <c r="N23" s="136"/>
      <c r="O23" s="132"/>
      <c r="P23" s="104">
        <v>29.089237766478959</v>
      </c>
      <c r="Q23" s="100" t="s">
        <v>250</v>
      </c>
      <c r="R23" s="104">
        <v>12.702367484197742</v>
      </c>
      <c r="S23" s="100"/>
      <c r="T23" s="104">
        <v>6.9856556862335939</v>
      </c>
      <c r="U23" s="100"/>
      <c r="V23" s="120">
        <v>0</v>
      </c>
      <c r="W23" s="116"/>
      <c r="X23" s="120">
        <v>0</v>
      </c>
      <c r="Y23" s="116"/>
      <c r="Z23" s="120">
        <v>0</v>
      </c>
      <c r="AA23" s="116"/>
      <c r="AB23" s="156">
        <v>17.990466504004541</v>
      </c>
      <c r="AC23" s="152"/>
      <c r="AD23" s="156">
        <v>16.50584302411778</v>
      </c>
      <c r="AE23" s="152"/>
      <c r="AF23" s="156">
        <v>11.335996030849829</v>
      </c>
      <c r="AG23" s="152"/>
      <c r="AH23" s="156">
        <v>11.294301222022911</v>
      </c>
      <c r="AI23" s="152"/>
      <c r="AJ23" s="173">
        <v>21.144082430183662</v>
      </c>
      <c r="AK23" s="169" t="s">
        <v>187</v>
      </c>
      <c r="AL23" s="173">
        <v>11.943916881320382</v>
      </c>
      <c r="AM23" s="169"/>
      <c r="AN23" s="38"/>
      <c r="AO23" s="55"/>
      <c r="AP23" s="38"/>
      <c r="AQ23" s="55"/>
      <c r="AR23" s="38"/>
      <c r="AS23" s="55"/>
      <c r="AT23" s="38"/>
      <c r="AU23" s="55"/>
      <c r="AV23" s="38"/>
      <c r="AW23" s="55"/>
      <c r="AX23" s="38"/>
      <c r="AY23" s="55"/>
      <c r="AZ23" s="38"/>
      <c r="BA23" s="55"/>
      <c r="BB23" s="38"/>
      <c r="BC23" s="55"/>
      <c r="BD23" s="72">
        <v>17.133762088431819</v>
      </c>
      <c r="BE23" s="68"/>
      <c r="BF23" s="72">
        <v>16.626370876124351</v>
      </c>
      <c r="BG23" s="68"/>
      <c r="BH23" s="72">
        <v>11.785779133847464</v>
      </c>
      <c r="BI23" s="68"/>
      <c r="BJ23" s="72">
        <v>17.739674546595246</v>
      </c>
      <c r="BK23" s="68"/>
      <c r="BL23" s="88">
        <v>16.333052851754427</v>
      </c>
      <c r="BM23" s="84"/>
      <c r="BN23" s="88">
        <v>15.550375232603317</v>
      </c>
      <c r="BO23" s="84"/>
      <c r="BP23" s="104">
        <v>15.076059427877762</v>
      </c>
      <c r="BQ23" s="100"/>
      <c r="BR23" s="104">
        <v>16.51152470021411</v>
      </c>
      <c r="BS23" s="100"/>
      <c r="BT23" s="120">
        <v>17.021691698303002</v>
      </c>
      <c r="BU23" s="116"/>
      <c r="BV23" s="120">
        <v>15.226554477040127</v>
      </c>
      <c r="BW23" s="116"/>
      <c r="BX23" s="38"/>
      <c r="BY23" s="55"/>
      <c r="BZ23" s="38"/>
      <c r="CA23" s="55"/>
      <c r="CB23" s="38"/>
      <c r="CC23" s="55"/>
      <c r="CD23" s="38"/>
      <c r="CE23" s="55"/>
      <c r="CF23" s="38"/>
      <c r="CG23" s="55"/>
      <c r="CH23" s="38"/>
      <c r="CI23" s="55"/>
      <c r="CJ23" s="38"/>
      <c r="CK23" s="55"/>
      <c r="CL23" s="156">
        <v>14.332040107916894</v>
      </c>
      <c r="CM23" s="152"/>
      <c r="CN23" s="156">
        <v>16.751010281375109</v>
      </c>
      <c r="CO23" s="152"/>
      <c r="CP23" s="156">
        <v>18.074004758268487</v>
      </c>
      <c r="CQ23" s="152"/>
      <c r="CR23" s="173">
        <v>29.089237766478959</v>
      </c>
      <c r="CS23" s="169" t="s">
        <v>243</v>
      </c>
      <c r="CT23" s="173">
        <v>6.9856556862335939</v>
      </c>
      <c r="CU23" s="169"/>
      <c r="CV23" s="173">
        <v>12.702367484197742</v>
      </c>
      <c r="CW23" s="169"/>
      <c r="CX23" s="38"/>
      <c r="CY23" s="55"/>
      <c r="CZ23" s="38"/>
      <c r="DA23" s="55"/>
      <c r="DB23" s="72">
        <v>23.746900980733809</v>
      </c>
      <c r="DC23" s="68" t="s">
        <v>245</v>
      </c>
      <c r="DD23" s="72">
        <v>13.702675103310716</v>
      </c>
      <c r="DE23" s="68"/>
      <c r="DF23" s="72">
        <v>11.45858895988516</v>
      </c>
      <c r="DG23" s="68"/>
    </row>
    <row r="24" spans="1:111" outlineLevel="1" x14ac:dyDescent="0.2">
      <c r="A24" s="30"/>
      <c r="B24" s="29"/>
      <c r="E24" s="66"/>
      <c r="G24" s="66"/>
      <c r="I24" s="82"/>
      <c r="K24" s="82"/>
      <c r="M24" s="130"/>
      <c r="O24" s="130"/>
      <c r="Q24" s="98"/>
      <c r="S24" s="98"/>
      <c r="U24" s="98"/>
      <c r="W24" s="114"/>
      <c r="Y24" s="114"/>
      <c r="AA24" s="114"/>
      <c r="AC24" s="150"/>
      <c r="AE24" s="150"/>
      <c r="AG24" s="150"/>
      <c r="AI24" s="150"/>
      <c r="AK24" s="167"/>
      <c r="AM24" s="167"/>
      <c r="AO24" s="54"/>
      <c r="AQ24" s="54"/>
      <c r="AS24" s="54"/>
      <c r="AU24" s="54"/>
      <c r="AW24" s="54"/>
      <c r="AY24" s="54"/>
      <c r="BA24" s="54"/>
      <c r="BC24" s="54"/>
      <c r="BE24" s="66"/>
      <c r="BG24" s="66"/>
      <c r="BI24" s="66"/>
      <c r="BK24" s="66"/>
      <c r="BM24" s="82"/>
      <c r="BO24" s="82"/>
      <c r="BQ24" s="98"/>
      <c r="BS24" s="98"/>
      <c r="BU24" s="114"/>
      <c r="BW24" s="114"/>
      <c r="BY24" s="54"/>
      <c r="CA24" s="54"/>
      <c r="CC24" s="54"/>
      <c r="CE24" s="54"/>
      <c r="CG24" s="54"/>
      <c r="CI24" s="54"/>
      <c r="CK24" s="54"/>
      <c r="CM24" s="150"/>
      <c r="CO24" s="150"/>
      <c r="CQ24" s="150"/>
      <c r="CS24" s="167"/>
      <c r="CU24" s="167"/>
      <c r="CW24" s="167"/>
      <c r="CY24" s="54"/>
      <c r="DA24" s="54"/>
      <c r="DC24" s="66"/>
      <c r="DE24" s="66"/>
      <c r="DG24" s="66"/>
    </row>
    <row r="25" spans="1:111" outlineLevel="1" x14ac:dyDescent="0.2">
      <c r="A25" s="30"/>
      <c r="B25" s="29" t="s">
        <v>65</v>
      </c>
      <c r="C25" s="36">
        <v>84.20566868387813</v>
      </c>
      <c r="D25" s="71">
        <v>0</v>
      </c>
      <c r="E25" s="68"/>
      <c r="F25" s="71">
        <v>84.20566868387813</v>
      </c>
      <c r="G25" s="68"/>
      <c r="H25" s="87">
        <v>0</v>
      </c>
      <c r="I25" s="84"/>
      <c r="J25" s="87">
        <v>100</v>
      </c>
      <c r="K25" s="84" t="s">
        <v>176</v>
      </c>
      <c r="L25" s="135"/>
      <c r="M25" s="132"/>
      <c r="N25" s="135"/>
      <c r="O25" s="132"/>
      <c r="P25" s="103">
        <v>70.910762233521041</v>
      </c>
      <c r="Q25" s="100"/>
      <c r="R25" s="103">
        <v>87.297632515802249</v>
      </c>
      <c r="S25" s="100" t="s">
        <v>180</v>
      </c>
      <c r="T25" s="103">
        <v>93.014344313766415</v>
      </c>
      <c r="U25" s="100" t="s">
        <v>180</v>
      </c>
      <c r="V25" s="119">
        <v>100</v>
      </c>
      <c r="W25" s="116"/>
      <c r="X25" s="119">
        <v>100</v>
      </c>
      <c r="Y25" s="116"/>
      <c r="Z25" s="119">
        <v>100</v>
      </c>
      <c r="AA25" s="116"/>
      <c r="AB25" s="155">
        <v>82.00953349599547</v>
      </c>
      <c r="AC25" s="152"/>
      <c r="AD25" s="155">
        <v>83.49415697588222</v>
      </c>
      <c r="AE25" s="152"/>
      <c r="AF25" s="155">
        <v>88.664003969150173</v>
      </c>
      <c r="AG25" s="152"/>
      <c r="AH25" s="155">
        <v>88.705698777977105</v>
      </c>
      <c r="AI25" s="152"/>
      <c r="AJ25" s="172">
        <v>78.855917569816327</v>
      </c>
      <c r="AK25" s="169"/>
      <c r="AL25" s="172">
        <v>88.056083118679624</v>
      </c>
      <c r="AM25" s="169" t="s">
        <v>186</v>
      </c>
      <c r="AN25" s="36"/>
      <c r="AO25" s="55"/>
      <c r="AP25" s="36"/>
      <c r="AQ25" s="55"/>
      <c r="AR25" s="36"/>
      <c r="AS25" s="55"/>
      <c r="AT25" s="36"/>
      <c r="AU25" s="55"/>
      <c r="AV25" s="36"/>
      <c r="AW25" s="55"/>
      <c r="AX25" s="36"/>
      <c r="AY25" s="55"/>
      <c r="AZ25" s="36"/>
      <c r="BA25" s="55"/>
      <c r="BB25" s="36"/>
      <c r="BC25" s="55"/>
      <c r="BD25" s="71">
        <v>82.866237911568177</v>
      </c>
      <c r="BE25" s="68"/>
      <c r="BF25" s="71">
        <v>83.373629123875645</v>
      </c>
      <c r="BG25" s="68"/>
      <c r="BH25" s="71">
        <v>88.21422086615253</v>
      </c>
      <c r="BI25" s="68"/>
      <c r="BJ25" s="71">
        <v>82.260325453404761</v>
      </c>
      <c r="BK25" s="68"/>
      <c r="BL25" s="87">
        <v>83.666947148245569</v>
      </c>
      <c r="BM25" s="84"/>
      <c r="BN25" s="87">
        <v>84.449624767396685</v>
      </c>
      <c r="BO25" s="84"/>
      <c r="BP25" s="103">
        <v>84.923940572122248</v>
      </c>
      <c r="BQ25" s="100"/>
      <c r="BR25" s="103">
        <v>83.48847529978589</v>
      </c>
      <c r="BS25" s="100"/>
      <c r="BT25" s="119">
        <v>82.978308301696998</v>
      </c>
      <c r="BU25" s="116"/>
      <c r="BV25" s="119">
        <v>84.773445522959875</v>
      </c>
      <c r="BW25" s="116"/>
      <c r="BX25" s="36"/>
      <c r="BY25" s="55"/>
      <c r="BZ25" s="36"/>
      <c r="CA25" s="55"/>
      <c r="CB25" s="36"/>
      <c r="CC25" s="55"/>
      <c r="CD25" s="36"/>
      <c r="CE25" s="55"/>
      <c r="CF25" s="36"/>
      <c r="CG25" s="55"/>
      <c r="CH25" s="36"/>
      <c r="CI25" s="55"/>
      <c r="CJ25" s="36"/>
      <c r="CK25" s="55"/>
      <c r="CL25" s="155">
        <v>85.667959892083104</v>
      </c>
      <c r="CM25" s="152"/>
      <c r="CN25" s="155">
        <v>83.248989718624884</v>
      </c>
      <c r="CO25" s="152"/>
      <c r="CP25" s="155">
        <v>81.925995241731513</v>
      </c>
      <c r="CQ25" s="152"/>
      <c r="CR25" s="172">
        <v>70.910762233521041</v>
      </c>
      <c r="CS25" s="169"/>
      <c r="CT25" s="172">
        <v>93.014344313766415</v>
      </c>
      <c r="CU25" s="169" t="s">
        <v>48</v>
      </c>
      <c r="CV25" s="172">
        <v>87.297632515802249</v>
      </c>
      <c r="CW25" s="169" t="s">
        <v>48</v>
      </c>
      <c r="CX25" s="36"/>
      <c r="CY25" s="55"/>
      <c r="CZ25" s="36"/>
      <c r="DA25" s="55"/>
      <c r="DB25" s="71">
        <v>76.253099019266187</v>
      </c>
      <c r="DC25" s="68"/>
      <c r="DD25" s="71">
        <v>86.29732489668929</v>
      </c>
      <c r="DE25" s="68" t="s">
        <v>206</v>
      </c>
      <c r="DF25" s="71">
        <v>88.541411040114852</v>
      </c>
      <c r="DG25" s="68" t="s">
        <v>206</v>
      </c>
    </row>
    <row r="26" spans="1:111" outlineLevel="1" x14ac:dyDescent="0.2">
      <c r="A26" s="30"/>
      <c r="B26" s="37" t="s">
        <v>66</v>
      </c>
      <c r="C26" s="38">
        <v>19.625680634688006</v>
      </c>
      <c r="D26" s="72">
        <v>0</v>
      </c>
      <c r="E26" s="68"/>
      <c r="F26" s="72">
        <v>19.625680634688006</v>
      </c>
      <c r="G26" s="68"/>
      <c r="H26" s="88">
        <v>0</v>
      </c>
      <c r="I26" s="84"/>
      <c r="J26" s="88">
        <v>23.306840194293837</v>
      </c>
      <c r="K26" s="84" t="s">
        <v>176</v>
      </c>
      <c r="L26" s="136"/>
      <c r="M26" s="132"/>
      <c r="N26" s="136"/>
      <c r="O26" s="132"/>
      <c r="P26" s="104">
        <v>24.979142958292559</v>
      </c>
      <c r="Q26" s="100" t="s">
        <v>182</v>
      </c>
      <c r="R26" s="104">
        <v>20.960849844831699</v>
      </c>
      <c r="S26" s="100"/>
      <c r="T26" s="104">
        <v>16.299798862733962</v>
      </c>
      <c r="U26" s="100"/>
      <c r="V26" s="120">
        <v>35.226166200318154</v>
      </c>
      <c r="W26" s="116" t="s">
        <v>251</v>
      </c>
      <c r="X26" s="120">
        <v>24.010788426636264</v>
      </c>
      <c r="Y26" s="116"/>
      <c r="Z26" s="120">
        <v>17.523962548990994</v>
      </c>
      <c r="AA26" s="116"/>
      <c r="AB26" s="156">
        <v>19.841763027691233</v>
      </c>
      <c r="AC26" s="152"/>
      <c r="AD26" s="156">
        <v>17.98710811763582</v>
      </c>
      <c r="AE26" s="152"/>
      <c r="AF26" s="156">
        <v>22.462509135980739</v>
      </c>
      <c r="AG26" s="152"/>
      <c r="AH26" s="156">
        <v>24.522893740155578</v>
      </c>
      <c r="AI26" s="152"/>
      <c r="AJ26" s="173">
        <v>18.465773886271364</v>
      </c>
      <c r="AK26" s="169"/>
      <c r="AL26" s="173">
        <v>20.460508571895758</v>
      </c>
      <c r="AM26" s="169"/>
      <c r="AN26" s="38"/>
      <c r="AO26" s="55"/>
      <c r="AP26" s="38"/>
      <c r="AQ26" s="55"/>
      <c r="AR26" s="38"/>
      <c r="AS26" s="55"/>
      <c r="AT26" s="38"/>
      <c r="AU26" s="55"/>
      <c r="AV26" s="38"/>
      <c r="AW26" s="55"/>
      <c r="AX26" s="38"/>
      <c r="AY26" s="55"/>
      <c r="AZ26" s="38"/>
      <c r="BA26" s="55"/>
      <c r="BB26" s="38"/>
      <c r="BC26" s="55"/>
      <c r="BD26" s="72">
        <v>16.364939984364405</v>
      </c>
      <c r="BE26" s="68"/>
      <c r="BF26" s="72">
        <v>22.02502926790741</v>
      </c>
      <c r="BG26" s="68"/>
      <c r="BH26" s="72">
        <v>16.23167539801949</v>
      </c>
      <c r="BI26" s="68"/>
      <c r="BJ26" s="72">
        <v>21.273943643015841</v>
      </c>
      <c r="BK26" s="68"/>
      <c r="BL26" s="88">
        <v>18.286071744887405</v>
      </c>
      <c r="BM26" s="84"/>
      <c r="BN26" s="88">
        <v>21.726560742694723</v>
      </c>
      <c r="BO26" s="84"/>
      <c r="BP26" s="104">
        <v>14.856808699560277</v>
      </c>
      <c r="BQ26" s="100"/>
      <c r="BR26" s="104">
        <v>23.188231684329725</v>
      </c>
      <c r="BS26" s="100" t="s">
        <v>197</v>
      </c>
      <c r="BT26" s="120">
        <v>19.665898803099374</v>
      </c>
      <c r="BU26" s="116"/>
      <c r="BV26" s="120">
        <v>19.813740155853075</v>
      </c>
      <c r="BW26" s="116"/>
      <c r="BX26" s="38"/>
      <c r="BY26" s="55"/>
      <c r="BZ26" s="38"/>
      <c r="CA26" s="55"/>
      <c r="CB26" s="38"/>
      <c r="CC26" s="55"/>
      <c r="CD26" s="38"/>
      <c r="CE26" s="55"/>
      <c r="CF26" s="38"/>
      <c r="CG26" s="55"/>
      <c r="CH26" s="38"/>
      <c r="CI26" s="55"/>
      <c r="CJ26" s="38"/>
      <c r="CK26" s="55"/>
      <c r="CL26" s="156">
        <v>19.493560766393912</v>
      </c>
      <c r="CM26" s="152"/>
      <c r="CN26" s="156">
        <v>18.264383587391688</v>
      </c>
      <c r="CO26" s="152"/>
      <c r="CP26" s="156">
        <v>17.14018353321298</v>
      </c>
      <c r="CQ26" s="152"/>
      <c r="CR26" s="173">
        <v>24.979142958292559</v>
      </c>
      <c r="CS26" s="169" t="s">
        <v>204</v>
      </c>
      <c r="CT26" s="173">
        <v>16.299798862733962</v>
      </c>
      <c r="CU26" s="169"/>
      <c r="CV26" s="173">
        <v>20.960849844831699</v>
      </c>
      <c r="CW26" s="169"/>
      <c r="CX26" s="38"/>
      <c r="CY26" s="55"/>
      <c r="CZ26" s="38"/>
      <c r="DA26" s="55"/>
      <c r="DB26" s="72">
        <v>17.301936575894857</v>
      </c>
      <c r="DC26" s="68"/>
      <c r="DD26" s="72">
        <v>24.69945250888361</v>
      </c>
      <c r="DE26" s="68" t="s">
        <v>208</v>
      </c>
      <c r="DF26" s="72">
        <v>14.421811948653891</v>
      </c>
      <c r="DG26" s="68"/>
    </row>
    <row r="27" spans="1:111" outlineLevel="1" x14ac:dyDescent="0.2">
      <c r="A27" s="30"/>
      <c r="B27" s="37" t="s">
        <v>67</v>
      </c>
      <c r="C27" s="38">
        <v>11.064362515549851</v>
      </c>
      <c r="D27" s="72">
        <v>0</v>
      </c>
      <c r="E27" s="68"/>
      <c r="F27" s="72">
        <v>11.064362515549851</v>
      </c>
      <c r="G27" s="68"/>
      <c r="H27" s="88">
        <v>0</v>
      </c>
      <c r="I27" s="84"/>
      <c r="J27" s="88">
        <v>13.139688441982784</v>
      </c>
      <c r="K27" s="84" t="s">
        <v>176</v>
      </c>
      <c r="L27" s="136"/>
      <c r="M27" s="132"/>
      <c r="N27" s="136"/>
      <c r="O27" s="132"/>
      <c r="P27" s="104">
        <v>10.684642478509417</v>
      </c>
      <c r="Q27" s="100"/>
      <c r="R27" s="104">
        <v>8.6825225487041617</v>
      </c>
      <c r="S27" s="100"/>
      <c r="T27" s="104">
        <v>11.219392260176175</v>
      </c>
      <c r="U27" s="100"/>
      <c r="V27" s="120">
        <v>15.06773040081433</v>
      </c>
      <c r="W27" s="116"/>
      <c r="X27" s="120">
        <v>9.9458854707571689</v>
      </c>
      <c r="Y27" s="116"/>
      <c r="Z27" s="120">
        <v>12.062002202939434</v>
      </c>
      <c r="AA27" s="116"/>
      <c r="AB27" s="156">
        <v>16.279289170678268</v>
      </c>
      <c r="AC27" s="152" t="s">
        <v>252</v>
      </c>
      <c r="AD27" s="156">
        <v>9.0559186358479771</v>
      </c>
      <c r="AE27" s="152"/>
      <c r="AF27" s="156">
        <v>11.264241904765292</v>
      </c>
      <c r="AG27" s="152"/>
      <c r="AH27" s="156">
        <v>3.1918540217823326</v>
      </c>
      <c r="AI27" s="152"/>
      <c r="AJ27" s="173">
        <v>10.851766813403326</v>
      </c>
      <c r="AK27" s="169"/>
      <c r="AL27" s="173">
        <v>11.217375532953612</v>
      </c>
      <c r="AM27" s="169"/>
      <c r="AN27" s="38"/>
      <c r="AO27" s="55"/>
      <c r="AP27" s="38"/>
      <c r="AQ27" s="55"/>
      <c r="AR27" s="38"/>
      <c r="AS27" s="55"/>
      <c r="AT27" s="38"/>
      <c r="AU27" s="55"/>
      <c r="AV27" s="38"/>
      <c r="AW27" s="55"/>
      <c r="AX27" s="38"/>
      <c r="AY27" s="55"/>
      <c r="AZ27" s="38"/>
      <c r="BA27" s="55"/>
      <c r="BB27" s="38"/>
      <c r="BC27" s="55"/>
      <c r="BD27" s="72">
        <v>16.567770804628481</v>
      </c>
      <c r="BE27" s="68" t="s">
        <v>253</v>
      </c>
      <c r="BF27" s="72">
        <v>7.8116069872400917</v>
      </c>
      <c r="BG27" s="68"/>
      <c r="BH27" s="72">
        <v>15.617882604611298</v>
      </c>
      <c r="BI27" s="68" t="s">
        <v>192</v>
      </c>
      <c r="BJ27" s="72">
        <v>8.0210039403093862</v>
      </c>
      <c r="BK27" s="68"/>
      <c r="BL27" s="88">
        <v>8.5670974757542702</v>
      </c>
      <c r="BM27" s="84"/>
      <c r="BN27" s="88">
        <v>15.364660654765556</v>
      </c>
      <c r="BO27" s="84" t="s">
        <v>195</v>
      </c>
      <c r="BP27" s="104">
        <v>11.525226371554758</v>
      </c>
      <c r="BQ27" s="100"/>
      <c r="BR27" s="104">
        <v>10.846257959430421</v>
      </c>
      <c r="BS27" s="100"/>
      <c r="BT27" s="120">
        <v>12.440329483276146</v>
      </c>
      <c r="BU27" s="116"/>
      <c r="BV27" s="120">
        <v>10.56942249790956</v>
      </c>
      <c r="BW27" s="116"/>
      <c r="BX27" s="38"/>
      <c r="BY27" s="55"/>
      <c r="BZ27" s="38"/>
      <c r="CA27" s="55"/>
      <c r="CB27" s="38"/>
      <c r="CC27" s="55"/>
      <c r="CD27" s="38"/>
      <c r="CE27" s="55"/>
      <c r="CF27" s="38"/>
      <c r="CG27" s="55"/>
      <c r="CH27" s="38"/>
      <c r="CI27" s="55"/>
      <c r="CJ27" s="38"/>
      <c r="CK27" s="55"/>
      <c r="CL27" s="156">
        <v>10.986023967154102</v>
      </c>
      <c r="CM27" s="152"/>
      <c r="CN27" s="156">
        <v>11.224254271375674</v>
      </c>
      <c r="CO27" s="152"/>
      <c r="CP27" s="156">
        <v>13.762077747811771</v>
      </c>
      <c r="CQ27" s="152"/>
      <c r="CR27" s="173">
        <v>10.684642478509417</v>
      </c>
      <c r="CS27" s="169"/>
      <c r="CT27" s="173">
        <v>11.219392260176175</v>
      </c>
      <c r="CU27" s="169"/>
      <c r="CV27" s="173">
        <v>8.6825225487041617</v>
      </c>
      <c r="CW27" s="169"/>
      <c r="CX27" s="38"/>
      <c r="CY27" s="55"/>
      <c r="CZ27" s="38"/>
      <c r="DA27" s="55"/>
      <c r="DB27" s="72">
        <v>13.324388908249116</v>
      </c>
      <c r="DC27" s="68"/>
      <c r="DD27" s="72">
        <v>8.9577626987081</v>
      </c>
      <c r="DE27" s="68"/>
      <c r="DF27" s="72">
        <v>12.024857510300405</v>
      </c>
      <c r="DG27" s="68"/>
    </row>
    <row r="28" spans="1:111" outlineLevel="1" x14ac:dyDescent="0.2">
      <c r="A28" s="30"/>
      <c r="B28" s="37" t="s">
        <v>68</v>
      </c>
      <c r="C28" s="38">
        <v>40.691851891924678</v>
      </c>
      <c r="D28" s="72">
        <v>0</v>
      </c>
      <c r="E28" s="68"/>
      <c r="F28" s="72">
        <v>40.691851891924678</v>
      </c>
      <c r="G28" s="68"/>
      <c r="H28" s="88">
        <v>0</v>
      </c>
      <c r="I28" s="84"/>
      <c r="J28" s="88">
        <v>48.324361682452228</v>
      </c>
      <c r="K28" s="84" t="s">
        <v>176</v>
      </c>
      <c r="L28" s="136"/>
      <c r="M28" s="132"/>
      <c r="N28" s="136"/>
      <c r="O28" s="132"/>
      <c r="P28" s="104">
        <v>25.44188929205648</v>
      </c>
      <c r="Q28" s="100"/>
      <c r="R28" s="104">
        <v>42.719389290792655</v>
      </c>
      <c r="S28" s="100" t="s">
        <v>180</v>
      </c>
      <c r="T28" s="104">
        <v>55.13861275183217</v>
      </c>
      <c r="U28" s="100" t="s">
        <v>254</v>
      </c>
      <c r="V28" s="120">
        <v>35.878741802650588</v>
      </c>
      <c r="W28" s="116"/>
      <c r="X28" s="120">
        <v>48.935335426261155</v>
      </c>
      <c r="Y28" s="116" t="s">
        <v>183</v>
      </c>
      <c r="Z28" s="120">
        <v>59.27968762090331</v>
      </c>
      <c r="AA28" s="116" t="s">
        <v>183</v>
      </c>
      <c r="AB28" s="156">
        <v>35.520383226707658</v>
      </c>
      <c r="AC28" s="152"/>
      <c r="AD28" s="156">
        <v>43.429631671485978</v>
      </c>
      <c r="AE28" s="152"/>
      <c r="AF28" s="156">
        <v>37.695100980372978</v>
      </c>
      <c r="AG28" s="152"/>
      <c r="AH28" s="156">
        <v>49.403078294845891</v>
      </c>
      <c r="AI28" s="152"/>
      <c r="AJ28" s="173">
        <v>37.334186812763541</v>
      </c>
      <c r="AK28" s="169"/>
      <c r="AL28" s="173">
        <v>43.108488070390756</v>
      </c>
      <c r="AM28" s="169"/>
      <c r="AN28" s="38"/>
      <c r="AO28" s="55"/>
      <c r="AP28" s="38"/>
      <c r="AQ28" s="55"/>
      <c r="AR28" s="38"/>
      <c r="AS28" s="55"/>
      <c r="AT28" s="38"/>
      <c r="AU28" s="55"/>
      <c r="AV28" s="38"/>
      <c r="AW28" s="55"/>
      <c r="AX28" s="38"/>
      <c r="AY28" s="55"/>
      <c r="AZ28" s="38"/>
      <c r="BA28" s="55"/>
      <c r="BB28" s="38"/>
      <c r="BC28" s="55"/>
      <c r="BD28" s="72">
        <v>33.635535130419008</v>
      </c>
      <c r="BE28" s="68"/>
      <c r="BF28" s="72">
        <v>43.097589350847308</v>
      </c>
      <c r="BG28" s="68"/>
      <c r="BH28" s="72">
        <v>46.265193750791838</v>
      </c>
      <c r="BI28" s="68" t="s">
        <v>191</v>
      </c>
      <c r="BJ28" s="72">
        <v>34.758650010939554</v>
      </c>
      <c r="BK28" s="68"/>
      <c r="BL28" s="88">
        <v>43.121344117274923</v>
      </c>
      <c r="BM28" s="84"/>
      <c r="BN28" s="88">
        <v>37.041694783551108</v>
      </c>
      <c r="BO28" s="84"/>
      <c r="BP28" s="104">
        <v>44.105466672924848</v>
      </c>
      <c r="BQ28" s="100"/>
      <c r="BR28" s="104">
        <v>37.689081899628697</v>
      </c>
      <c r="BS28" s="100"/>
      <c r="BT28" s="120">
        <v>40.978319041047584</v>
      </c>
      <c r="BU28" s="116"/>
      <c r="BV28" s="120">
        <v>40.323823550919315</v>
      </c>
      <c r="BW28" s="116"/>
      <c r="BX28" s="38"/>
      <c r="BY28" s="55"/>
      <c r="BZ28" s="38"/>
      <c r="CA28" s="55"/>
      <c r="CB28" s="38"/>
      <c r="CC28" s="55"/>
      <c r="CD28" s="38"/>
      <c r="CE28" s="55"/>
      <c r="CF28" s="38"/>
      <c r="CG28" s="55"/>
      <c r="CH28" s="38"/>
      <c r="CI28" s="55"/>
      <c r="CJ28" s="38"/>
      <c r="CK28" s="55"/>
      <c r="CL28" s="156">
        <v>42.725392664239237</v>
      </c>
      <c r="CM28" s="152"/>
      <c r="CN28" s="156">
        <v>40.200966110933592</v>
      </c>
      <c r="CO28" s="152"/>
      <c r="CP28" s="156">
        <v>37.113258266277647</v>
      </c>
      <c r="CQ28" s="152"/>
      <c r="CR28" s="173">
        <v>25.44188929205648</v>
      </c>
      <c r="CS28" s="169"/>
      <c r="CT28" s="173">
        <v>55.13861275183217</v>
      </c>
      <c r="CU28" s="169" t="s">
        <v>255</v>
      </c>
      <c r="CV28" s="173">
        <v>42.719389290792655</v>
      </c>
      <c r="CW28" s="169" t="s">
        <v>48</v>
      </c>
      <c r="CX28" s="38"/>
      <c r="CY28" s="55"/>
      <c r="CZ28" s="38"/>
      <c r="DA28" s="55"/>
      <c r="DB28" s="72">
        <v>31.834868322795838</v>
      </c>
      <c r="DC28" s="68"/>
      <c r="DD28" s="72">
        <v>37.03632656047693</v>
      </c>
      <c r="DE28" s="68"/>
      <c r="DF28" s="72">
        <v>54.199040904553584</v>
      </c>
      <c r="DG28" s="68" t="s">
        <v>249</v>
      </c>
    </row>
    <row r="29" spans="1:111" outlineLevel="1" x14ac:dyDescent="0.2">
      <c r="A29" s="30"/>
      <c r="B29" s="37" t="s">
        <v>69</v>
      </c>
      <c r="C29" s="38">
        <v>12.823773641715595</v>
      </c>
      <c r="D29" s="72">
        <v>0</v>
      </c>
      <c r="E29" s="68"/>
      <c r="F29" s="72">
        <v>12.823773641715595</v>
      </c>
      <c r="G29" s="68"/>
      <c r="H29" s="88">
        <v>0</v>
      </c>
      <c r="I29" s="84"/>
      <c r="J29" s="88">
        <v>15.229109681271153</v>
      </c>
      <c r="K29" s="84" t="s">
        <v>176</v>
      </c>
      <c r="L29" s="136"/>
      <c r="M29" s="132"/>
      <c r="N29" s="136"/>
      <c r="O29" s="132"/>
      <c r="P29" s="104">
        <v>9.8050875046625805</v>
      </c>
      <c r="Q29" s="100"/>
      <c r="R29" s="104">
        <v>14.934870831473734</v>
      </c>
      <c r="S29" s="100"/>
      <c r="T29" s="104">
        <v>10.356540439024108</v>
      </c>
      <c r="U29" s="100"/>
      <c r="V29" s="120">
        <v>13.827361596216923</v>
      </c>
      <c r="W29" s="116"/>
      <c r="X29" s="120">
        <v>17.10799067634542</v>
      </c>
      <c r="Y29" s="116"/>
      <c r="Z29" s="120">
        <v>11.134347627166262</v>
      </c>
      <c r="AA29" s="116"/>
      <c r="AB29" s="156">
        <v>10.368098070918313</v>
      </c>
      <c r="AC29" s="152"/>
      <c r="AD29" s="156">
        <v>13.021498550912447</v>
      </c>
      <c r="AE29" s="152"/>
      <c r="AF29" s="156">
        <v>17.242151948031164</v>
      </c>
      <c r="AG29" s="152"/>
      <c r="AH29" s="156">
        <v>11.587872721193298</v>
      </c>
      <c r="AI29" s="152"/>
      <c r="AJ29" s="173">
        <v>12.204190057378103</v>
      </c>
      <c r="AK29" s="169"/>
      <c r="AL29" s="173">
        <v>13.26971094343949</v>
      </c>
      <c r="AM29" s="169"/>
      <c r="AN29" s="38"/>
      <c r="AO29" s="55"/>
      <c r="AP29" s="38"/>
      <c r="AQ29" s="55"/>
      <c r="AR29" s="38"/>
      <c r="AS29" s="55"/>
      <c r="AT29" s="38"/>
      <c r="AU29" s="55"/>
      <c r="AV29" s="38"/>
      <c r="AW29" s="55"/>
      <c r="AX29" s="38"/>
      <c r="AY29" s="55"/>
      <c r="AZ29" s="38"/>
      <c r="BA29" s="55"/>
      <c r="BB29" s="38"/>
      <c r="BC29" s="55"/>
      <c r="BD29" s="72">
        <v>16.297991992156287</v>
      </c>
      <c r="BE29" s="68"/>
      <c r="BF29" s="72">
        <v>10.439403517880834</v>
      </c>
      <c r="BG29" s="68"/>
      <c r="BH29" s="72">
        <v>10.09946911272991</v>
      </c>
      <c r="BI29" s="68"/>
      <c r="BJ29" s="72">
        <v>18.206727859139981</v>
      </c>
      <c r="BK29" s="68" t="s">
        <v>192</v>
      </c>
      <c r="BL29" s="88">
        <v>13.692433810328978</v>
      </c>
      <c r="BM29" s="84"/>
      <c r="BN29" s="88">
        <v>10.316708586385293</v>
      </c>
      <c r="BO29" s="84"/>
      <c r="BP29" s="104">
        <v>14.436438828082354</v>
      </c>
      <c r="BQ29" s="100"/>
      <c r="BR29" s="104">
        <v>11.764903756397038</v>
      </c>
      <c r="BS29" s="100"/>
      <c r="BT29" s="120">
        <v>9.893760974273885</v>
      </c>
      <c r="BU29" s="116"/>
      <c r="BV29" s="120">
        <v>14.066459318277921</v>
      </c>
      <c r="BW29" s="116"/>
      <c r="BX29" s="38"/>
      <c r="BY29" s="55"/>
      <c r="BZ29" s="38"/>
      <c r="CA29" s="55"/>
      <c r="CB29" s="38"/>
      <c r="CC29" s="55"/>
      <c r="CD29" s="38"/>
      <c r="CE29" s="55"/>
      <c r="CF29" s="38"/>
      <c r="CG29" s="55"/>
      <c r="CH29" s="38"/>
      <c r="CI29" s="55"/>
      <c r="CJ29" s="38"/>
      <c r="CK29" s="55"/>
      <c r="CL29" s="156">
        <v>12.462982494295856</v>
      </c>
      <c r="CM29" s="152"/>
      <c r="CN29" s="156">
        <v>13.559385748923933</v>
      </c>
      <c r="CO29" s="152"/>
      <c r="CP29" s="156">
        <v>13.910475694429119</v>
      </c>
      <c r="CQ29" s="152"/>
      <c r="CR29" s="173">
        <v>9.8050875046625805</v>
      </c>
      <c r="CS29" s="169"/>
      <c r="CT29" s="173">
        <v>10.356540439024108</v>
      </c>
      <c r="CU29" s="169"/>
      <c r="CV29" s="173">
        <v>14.934870831473734</v>
      </c>
      <c r="CW29" s="169"/>
      <c r="CX29" s="38"/>
      <c r="CY29" s="55"/>
      <c r="CZ29" s="38"/>
      <c r="DA29" s="55"/>
      <c r="DB29" s="72">
        <v>13.79190521232638</v>
      </c>
      <c r="DC29" s="68"/>
      <c r="DD29" s="72">
        <v>15.603783128620647</v>
      </c>
      <c r="DE29" s="68" t="s">
        <v>208</v>
      </c>
      <c r="DF29" s="72">
        <v>7.8957006766069648</v>
      </c>
      <c r="DG29" s="68"/>
    </row>
    <row r="30" spans="1:111" outlineLevel="1" x14ac:dyDescent="0.2">
      <c r="A30" s="30"/>
      <c r="B30" s="30"/>
      <c r="E30" s="66"/>
      <c r="G30" s="66"/>
      <c r="I30" s="82"/>
      <c r="K30" s="82"/>
      <c r="M30" s="130"/>
      <c r="O30" s="130"/>
      <c r="Q30" s="98"/>
      <c r="S30" s="98"/>
      <c r="U30" s="98"/>
      <c r="W30" s="114"/>
      <c r="Y30" s="114"/>
      <c r="AA30" s="114"/>
      <c r="AC30" s="150"/>
      <c r="AE30" s="150"/>
      <c r="AG30" s="150"/>
      <c r="AI30" s="150"/>
      <c r="AK30" s="167"/>
      <c r="AM30" s="167"/>
      <c r="AO30" s="54"/>
      <c r="AQ30" s="54"/>
      <c r="AS30" s="54"/>
      <c r="AU30" s="54"/>
      <c r="AW30" s="54"/>
      <c r="AY30" s="54"/>
      <c r="BA30" s="54"/>
      <c r="BC30" s="54"/>
      <c r="BE30" s="66"/>
      <c r="BG30" s="66"/>
      <c r="BI30" s="66"/>
      <c r="BK30" s="66"/>
      <c r="BM30" s="82"/>
      <c r="BO30" s="82"/>
      <c r="BQ30" s="98"/>
      <c r="BS30" s="98"/>
      <c r="BU30" s="114"/>
      <c r="BW30" s="114"/>
      <c r="BY30" s="54"/>
      <c r="CA30" s="54"/>
      <c r="CC30" s="54"/>
      <c r="CE30" s="54"/>
      <c r="CG30" s="54"/>
      <c r="CI30" s="54"/>
      <c r="CK30" s="54"/>
      <c r="CM30" s="150"/>
      <c r="CO30" s="150"/>
      <c r="CQ30" s="150"/>
      <c r="CS30" s="167"/>
      <c r="CU30" s="167"/>
      <c r="CW30" s="167"/>
      <c r="CY30" s="54"/>
      <c r="DA30" s="54"/>
      <c r="DC30" s="66"/>
      <c r="DE30" s="66"/>
      <c r="DG30" s="66"/>
    </row>
    <row r="31" spans="1:111" x14ac:dyDescent="0.2">
      <c r="A31" s="30"/>
      <c r="B31" s="30"/>
      <c r="E31" s="66"/>
      <c r="G31" s="66"/>
      <c r="I31" s="82"/>
      <c r="K31" s="82"/>
      <c r="M31" s="130"/>
      <c r="O31" s="130"/>
      <c r="Q31" s="98"/>
      <c r="S31" s="98"/>
      <c r="U31" s="98"/>
      <c r="W31" s="114"/>
      <c r="Y31" s="114"/>
      <c r="AA31" s="114"/>
      <c r="AC31" s="150"/>
      <c r="AE31" s="150"/>
      <c r="AG31" s="150"/>
      <c r="AI31" s="150"/>
      <c r="AK31" s="167"/>
      <c r="AM31" s="167"/>
      <c r="AO31" s="54"/>
      <c r="AQ31" s="54"/>
      <c r="AS31" s="54"/>
      <c r="AU31" s="54"/>
      <c r="AW31" s="54"/>
      <c r="AY31" s="54"/>
      <c r="BA31" s="54"/>
      <c r="BC31" s="54"/>
      <c r="BE31" s="66"/>
      <c r="BG31" s="66"/>
      <c r="BI31" s="66"/>
      <c r="BK31" s="66"/>
      <c r="BM31" s="82"/>
      <c r="BO31" s="82"/>
      <c r="BQ31" s="98"/>
      <c r="BS31" s="98"/>
      <c r="BU31" s="114"/>
      <c r="BW31" s="114"/>
      <c r="BY31" s="54"/>
      <c r="CA31" s="54"/>
      <c r="CC31" s="54"/>
      <c r="CE31" s="54"/>
      <c r="CG31" s="54"/>
      <c r="CI31" s="54"/>
      <c r="CK31" s="54"/>
      <c r="CM31" s="150"/>
      <c r="CO31" s="150"/>
      <c r="CQ31" s="150"/>
      <c r="CS31" s="167"/>
      <c r="CU31" s="167"/>
      <c r="CW31" s="167"/>
      <c r="CY31" s="54"/>
      <c r="DA31" s="54"/>
      <c r="DC31" s="66"/>
      <c r="DE31" s="66"/>
      <c r="DG31" s="66"/>
    </row>
    <row r="32" spans="1:111" x14ac:dyDescent="0.2">
      <c r="A32" s="28" t="s">
        <v>70</v>
      </c>
      <c r="B32" s="29" t="s">
        <v>71</v>
      </c>
      <c r="E32" s="66"/>
      <c r="G32" s="66"/>
      <c r="I32" s="82"/>
      <c r="K32" s="82"/>
      <c r="M32" s="130"/>
      <c r="O32" s="130"/>
      <c r="Q32" s="98"/>
      <c r="S32" s="98"/>
      <c r="U32" s="98"/>
      <c r="W32" s="114"/>
      <c r="Y32" s="114"/>
      <c r="AA32" s="114"/>
      <c r="AC32" s="150"/>
      <c r="AE32" s="150"/>
      <c r="AG32" s="150"/>
      <c r="AI32" s="150"/>
      <c r="AK32" s="167"/>
      <c r="AM32" s="167"/>
      <c r="AO32" s="54"/>
      <c r="AQ32" s="54"/>
      <c r="AS32" s="54"/>
      <c r="AU32" s="54"/>
      <c r="AW32" s="54"/>
      <c r="AY32" s="54"/>
      <c r="BA32" s="54"/>
      <c r="BC32" s="54"/>
      <c r="BE32" s="66"/>
      <c r="BG32" s="66"/>
      <c r="BI32" s="66"/>
      <c r="BK32" s="66"/>
      <c r="BM32" s="82"/>
      <c r="BO32" s="82"/>
      <c r="BQ32" s="98"/>
      <c r="BS32" s="98"/>
      <c r="BU32" s="114"/>
      <c r="BW32" s="114"/>
      <c r="BY32" s="54"/>
      <c r="CA32" s="54"/>
      <c r="CC32" s="54"/>
      <c r="CE32" s="54"/>
      <c r="CG32" s="54"/>
      <c r="CI32" s="54"/>
      <c r="CK32" s="54"/>
      <c r="CM32" s="150"/>
      <c r="CO32" s="150"/>
      <c r="CQ32" s="150"/>
      <c r="CS32" s="167"/>
      <c r="CU32" s="167"/>
      <c r="CW32" s="167"/>
      <c r="CY32" s="54"/>
      <c r="DA32" s="54"/>
      <c r="DC32" s="66"/>
      <c r="DE32" s="66"/>
      <c r="DG32" s="66"/>
    </row>
    <row r="33" spans="1:111" outlineLevel="1" x14ac:dyDescent="0.2">
      <c r="A33" s="30"/>
      <c r="B33" s="32" t="s">
        <v>55</v>
      </c>
      <c r="C33" s="31">
        <f>1883.05224610559+89.9477538944136</f>
        <v>1973.0000000000036</v>
      </c>
      <c r="D33" s="67">
        <f>1186.40754506923+54.5924549307656</f>
        <v>1240.9999999999957</v>
      </c>
      <c r="E33" s="68"/>
      <c r="F33" s="67">
        <f>697.229271339924+34.7707286600755</f>
        <v>731.99999999999955</v>
      </c>
      <c r="G33" s="68"/>
      <c r="H33" s="83">
        <f>1294.51472390475+61.4852760952508</f>
        <v>1356.0000000000009</v>
      </c>
      <c r="I33" s="84"/>
      <c r="J33" s="83">
        <f>588.872678023413+28.1273219765872</f>
        <v>617.00000000000011</v>
      </c>
      <c r="K33" s="84"/>
      <c r="L33" s="131"/>
      <c r="M33" s="132"/>
      <c r="N33" s="131"/>
      <c r="O33" s="132"/>
      <c r="P33" s="99">
        <f>197.775455801689+12.2245441983108</f>
        <v>209.9999999999998</v>
      </c>
      <c r="Q33" s="100"/>
      <c r="R33" s="99">
        <f>183.624369897672+9.37563010232844</f>
        <v>193.00000000000045</v>
      </c>
      <c r="S33" s="100"/>
      <c r="T33" s="99">
        <f>202.167219603481+6.83278039651879</f>
        <v>208.99999999999977</v>
      </c>
      <c r="U33" s="100"/>
      <c r="V33" s="115">
        <f>142.903095748811+7.09690425118887</f>
        <v>149.99999999999989</v>
      </c>
      <c r="W33" s="116"/>
      <c r="X33" s="115">
        <f>159.312800786456+8.68719921354355</f>
        <v>167.99999999999955</v>
      </c>
      <c r="Y33" s="116"/>
      <c r="Z33" s="115">
        <f>187.399553476067+6.60044652393256</f>
        <v>193.99999999999957</v>
      </c>
      <c r="AA33" s="116"/>
      <c r="AB33" s="151">
        <f>418.260207692397+16.7397923076035</f>
        <v>435.00000000000051</v>
      </c>
      <c r="AC33" s="152"/>
      <c r="AD33" s="151">
        <f>738.006659532827+36.9933404671731</f>
        <v>775.00000000000011</v>
      </c>
      <c r="AE33" s="152"/>
      <c r="AF33" s="151">
        <f>311.253904538341+10.7460954616589</f>
        <v>321.99999999999989</v>
      </c>
      <c r="AG33" s="152"/>
      <c r="AH33" s="151">
        <f>431.026863681208+9.97313631879211</f>
        <v>441.00000000000011</v>
      </c>
      <c r="AI33" s="152"/>
      <c r="AJ33" s="168">
        <f>923.333460709361+44.6665392906394</f>
        <v>968.00000000000045</v>
      </c>
      <c r="AK33" s="169"/>
      <c r="AL33" s="168">
        <f>959.799270076854+45.2007299231459</f>
        <v>1004.9999999999999</v>
      </c>
      <c r="AM33" s="169"/>
      <c r="AN33" s="31"/>
      <c r="AO33" s="55"/>
      <c r="AP33" s="31"/>
      <c r="AQ33" s="55"/>
      <c r="AR33" s="31"/>
      <c r="AS33" s="55"/>
      <c r="AT33" s="31"/>
      <c r="AU33" s="55"/>
      <c r="AV33" s="31"/>
      <c r="AW33" s="55"/>
      <c r="AX33" s="31"/>
      <c r="AY33" s="55"/>
      <c r="AZ33" s="31"/>
      <c r="BA33" s="55"/>
      <c r="BB33" s="31"/>
      <c r="BC33" s="55"/>
      <c r="BD33" s="67">
        <f>379.857824097321+11.1421759026792</f>
        <v>391.00000000000017</v>
      </c>
      <c r="BE33" s="68"/>
      <c r="BF33" s="67">
        <f>745.998424961336+22.0015750386635</f>
        <v>767.99999999999955</v>
      </c>
      <c r="BG33" s="68"/>
      <c r="BH33" s="67">
        <f>409.189427060892+14.8105729391077</f>
        <v>423.99999999999972</v>
      </c>
      <c r="BI33" s="68"/>
      <c r="BJ33" s="67">
        <f>363.70066322202+26.2993367779799</f>
        <v>389.99999999999989</v>
      </c>
      <c r="BK33" s="68"/>
      <c r="BL33" s="83">
        <f>896.282615300541+41.7173846994588</f>
        <v>937.99999999999977</v>
      </c>
      <c r="BM33" s="84"/>
      <c r="BN33" s="83">
        <f>918.786185024919+45.2138149750814</f>
        <v>964.00000000000034</v>
      </c>
      <c r="BO33" s="84"/>
      <c r="BP33" s="99">
        <f>566.54488221061+21.4551177893895</f>
        <v>587.99999999999955</v>
      </c>
      <c r="BQ33" s="100"/>
      <c r="BR33" s="99">
        <f>1309.85022189589+68.1497781041148</f>
        <v>1378.0000000000048</v>
      </c>
      <c r="BS33" s="100"/>
      <c r="BT33" s="115">
        <f>801.597409190903+42.4025908090973</f>
        <v>844.00000000000034</v>
      </c>
      <c r="BU33" s="116"/>
      <c r="BV33" s="115">
        <f>1073.89067127574+47.109328724262</f>
        <v>1121.000000000002</v>
      </c>
      <c r="BW33" s="116"/>
      <c r="BX33" s="31"/>
      <c r="BY33" s="55"/>
      <c r="BZ33" s="31"/>
      <c r="CA33" s="55"/>
      <c r="CB33" s="31"/>
      <c r="CC33" s="55"/>
      <c r="CD33" s="31"/>
      <c r="CE33" s="55"/>
      <c r="CF33" s="31"/>
      <c r="CG33" s="55"/>
      <c r="CH33" s="31"/>
      <c r="CI33" s="55"/>
      <c r="CJ33" s="31"/>
      <c r="CK33" s="55"/>
      <c r="CL33" s="151">
        <f>1355.82509014005+57.1749098599505</f>
        <v>1413.0000000000005</v>
      </c>
      <c r="CM33" s="152"/>
      <c r="CN33" s="151">
        <f>292.487931587065+18.5120684129348</f>
        <v>310.99999999999983</v>
      </c>
      <c r="CO33" s="152"/>
      <c r="CP33" s="151">
        <f>266.807630662101+20.192369337899</f>
        <v>287</v>
      </c>
      <c r="CQ33" s="152"/>
      <c r="CR33" s="168">
        <f>771.339198902703+38.6608010972968</f>
        <v>809.99999999999977</v>
      </c>
      <c r="CS33" s="169"/>
      <c r="CT33" s="168">
        <f>498.353180029268+21.6468199707316</f>
        <v>519.99999999999955</v>
      </c>
      <c r="CU33" s="169"/>
      <c r="CV33" s="168">
        <f>425.648257709813+20.3517422901865</f>
        <v>445.99999999999949</v>
      </c>
      <c r="CW33" s="169"/>
      <c r="CX33" s="31"/>
      <c r="CY33" s="55"/>
      <c r="CZ33" s="31"/>
      <c r="DA33" s="55"/>
      <c r="DB33" s="67">
        <f>562.90176025743+31.0982397425698</f>
        <v>593.99999999999989</v>
      </c>
      <c r="DC33" s="68"/>
      <c r="DD33" s="67">
        <f>923.018785397321+40.9812146026794</f>
        <v>964.00000000000045</v>
      </c>
      <c r="DE33" s="68"/>
      <c r="DF33" s="67">
        <f>397.90956414565+17.0904358543499</f>
        <v>414.99999999999989</v>
      </c>
      <c r="DG33" s="68"/>
    </row>
    <row r="34" spans="1:111" s="35" customFormat="1" outlineLevel="1" x14ac:dyDescent="0.2">
      <c r="A34" s="30"/>
      <c r="B34" s="33"/>
      <c r="C34" s="34" t="s">
        <v>167</v>
      </c>
      <c r="D34" s="69" t="s">
        <v>167</v>
      </c>
      <c r="E34" s="70"/>
      <c r="F34" s="69" t="s">
        <v>167</v>
      </c>
      <c r="G34" s="70"/>
      <c r="H34" s="85" t="s">
        <v>167</v>
      </c>
      <c r="I34" s="86"/>
      <c r="J34" s="85" t="s">
        <v>167</v>
      </c>
      <c r="K34" s="86"/>
      <c r="L34" s="133"/>
      <c r="M34" s="134"/>
      <c r="N34" s="133"/>
      <c r="O34" s="134"/>
      <c r="P34" s="101" t="s">
        <v>167</v>
      </c>
      <c r="Q34" s="102"/>
      <c r="R34" s="101" t="s">
        <v>167</v>
      </c>
      <c r="S34" s="102"/>
      <c r="T34" s="101" t="s">
        <v>167</v>
      </c>
      <c r="U34" s="102"/>
      <c r="V34" s="117" t="s">
        <v>167</v>
      </c>
      <c r="W34" s="118"/>
      <c r="X34" s="117" t="s">
        <v>167</v>
      </c>
      <c r="Y34" s="118"/>
      <c r="Z34" s="117" t="s">
        <v>167</v>
      </c>
      <c r="AA34" s="118"/>
      <c r="AB34" s="153" t="s">
        <v>167</v>
      </c>
      <c r="AC34" s="154"/>
      <c r="AD34" s="153" t="s">
        <v>167</v>
      </c>
      <c r="AE34" s="154"/>
      <c r="AF34" s="153" t="s">
        <v>167</v>
      </c>
      <c r="AG34" s="154"/>
      <c r="AH34" s="153" t="s">
        <v>167</v>
      </c>
      <c r="AI34" s="154"/>
      <c r="AJ34" s="170" t="s">
        <v>167</v>
      </c>
      <c r="AK34" s="171"/>
      <c r="AL34" s="170" t="s">
        <v>167</v>
      </c>
      <c r="AM34" s="171"/>
      <c r="AN34" s="34"/>
      <c r="AO34" s="56"/>
      <c r="AP34" s="34"/>
      <c r="AQ34" s="56"/>
      <c r="AR34" s="34"/>
      <c r="AS34" s="56"/>
      <c r="AT34" s="34"/>
      <c r="AU34" s="56"/>
      <c r="AV34" s="34"/>
      <c r="AW34" s="56"/>
      <c r="AX34" s="34"/>
      <c r="AY34" s="56"/>
      <c r="AZ34" s="34"/>
      <c r="BA34" s="56"/>
      <c r="BB34" s="34"/>
      <c r="BC34" s="56"/>
      <c r="BD34" s="69" t="s">
        <v>167</v>
      </c>
      <c r="BE34" s="70"/>
      <c r="BF34" s="69" t="s">
        <v>167</v>
      </c>
      <c r="BG34" s="70"/>
      <c r="BH34" s="69" t="s">
        <v>167</v>
      </c>
      <c r="BI34" s="70"/>
      <c r="BJ34" s="69" t="s">
        <v>167</v>
      </c>
      <c r="BK34" s="70"/>
      <c r="BL34" s="85" t="s">
        <v>167</v>
      </c>
      <c r="BM34" s="86"/>
      <c r="BN34" s="85" t="s">
        <v>167</v>
      </c>
      <c r="BO34" s="86"/>
      <c r="BP34" s="101" t="s">
        <v>167</v>
      </c>
      <c r="BQ34" s="102"/>
      <c r="BR34" s="101" t="s">
        <v>167</v>
      </c>
      <c r="BS34" s="102"/>
      <c r="BT34" s="117" t="s">
        <v>167</v>
      </c>
      <c r="BU34" s="118"/>
      <c r="BV34" s="117" t="s">
        <v>167</v>
      </c>
      <c r="BW34" s="118"/>
      <c r="BX34" s="34"/>
      <c r="BY34" s="56"/>
      <c r="BZ34" s="34"/>
      <c r="CA34" s="56"/>
      <c r="CB34" s="34"/>
      <c r="CC34" s="56"/>
      <c r="CD34" s="34"/>
      <c r="CE34" s="56"/>
      <c r="CF34" s="34"/>
      <c r="CG34" s="56"/>
      <c r="CH34" s="34"/>
      <c r="CI34" s="56"/>
      <c r="CJ34" s="34"/>
      <c r="CK34" s="56"/>
      <c r="CL34" s="153" t="s">
        <v>167</v>
      </c>
      <c r="CM34" s="154"/>
      <c r="CN34" s="153" t="s">
        <v>167</v>
      </c>
      <c r="CO34" s="154"/>
      <c r="CP34" s="153" t="s">
        <v>167</v>
      </c>
      <c r="CQ34" s="154"/>
      <c r="CR34" s="170" t="s">
        <v>167</v>
      </c>
      <c r="CS34" s="171"/>
      <c r="CT34" s="170" t="s">
        <v>167</v>
      </c>
      <c r="CU34" s="171"/>
      <c r="CV34" s="170" t="s">
        <v>167</v>
      </c>
      <c r="CW34" s="171"/>
      <c r="CX34" s="34"/>
      <c r="CY34" s="56"/>
      <c r="CZ34" s="34"/>
      <c r="DA34" s="56"/>
      <c r="DB34" s="69" t="s">
        <v>167</v>
      </c>
      <c r="DC34" s="70"/>
      <c r="DD34" s="69" t="s">
        <v>167</v>
      </c>
      <c r="DE34" s="70"/>
      <c r="DF34" s="69" t="s">
        <v>167</v>
      </c>
      <c r="DG34" s="70"/>
    </row>
    <row r="35" spans="1:111" outlineLevel="1" x14ac:dyDescent="0.2">
      <c r="A35" s="30"/>
      <c r="B35" s="30"/>
      <c r="E35" s="66"/>
      <c r="G35" s="66"/>
      <c r="I35" s="82"/>
      <c r="K35" s="82"/>
      <c r="M35" s="130"/>
      <c r="O35" s="130"/>
      <c r="Q35" s="98"/>
      <c r="S35" s="98"/>
      <c r="U35" s="98"/>
      <c r="W35" s="114"/>
      <c r="Y35" s="114"/>
      <c r="AA35" s="114"/>
      <c r="AC35" s="150"/>
      <c r="AE35" s="150"/>
      <c r="AG35" s="150"/>
      <c r="AI35" s="150"/>
      <c r="AK35" s="167"/>
      <c r="AM35" s="167"/>
      <c r="AO35" s="54"/>
      <c r="AQ35" s="54"/>
      <c r="AS35" s="54"/>
      <c r="AU35" s="54"/>
      <c r="AW35" s="54"/>
      <c r="AY35" s="54"/>
      <c r="BA35" s="54"/>
      <c r="BC35" s="54"/>
      <c r="BE35" s="66"/>
      <c r="BG35" s="66"/>
      <c r="BI35" s="66"/>
      <c r="BK35" s="66"/>
      <c r="BM35" s="82"/>
      <c r="BO35" s="82"/>
      <c r="BQ35" s="98"/>
      <c r="BS35" s="98"/>
      <c r="BU35" s="114"/>
      <c r="BW35" s="114"/>
      <c r="BY35" s="54"/>
      <c r="CA35" s="54"/>
      <c r="CC35" s="54"/>
      <c r="CE35" s="54"/>
      <c r="CG35" s="54"/>
      <c r="CI35" s="54"/>
      <c r="CK35" s="54"/>
      <c r="CM35" s="150"/>
      <c r="CO35" s="150"/>
      <c r="CQ35" s="150"/>
      <c r="CS35" s="167"/>
      <c r="CU35" s="167"/>
      <c r="CW35" s="167"/>
      <c r="CY35" s="54"/>
      <c r="DA35" s="54"/>
      <c r="DC35" s="66"/>
      <c r="DE35" s="66"/>
      <c r="DG35" s="66"/>
    </row>
    <row r="36" spans="1:111" outlineLevel="1" x14ac:dyDescent="0.2">
      <c r="A36" s="30"/>
      <c r="B36" s="29" t="s">
        <v>72</v>
      </c>
      <c r="C36" s="36">
        <v>69.184495087201697</v>
      </c>
      <c r="D36" s="71">
        <v>72.687548479820194</v>
      </c>
      <c r="E36" s="68" t="s">
        <v>175</v>
      </c>
      <c r="F36" s="71">
        <v>63.436314123239789</v>
      </c>
      <c r="G36" s="68"/>
      <c r="H36" s="87">
        <v>73.089298745472504</v>
      </c>
      <c r="I36" s="84" t="s">
        <v>177</v>
      </c>
      <c r="J36" s="87">
        <v>60.842832251219207</v>
      </c>
      <c r="K36" s="84"/>
      <c r="L36" s="135"/>
      <c r="M36" s="132"/>
      <c r="N36" s="135"/>
      <c r="O36" s="132"/>
      <c r="P36" s="103">
        <v>71.198442294568821</v>
      </c>
      <c r="Q36" s="100"/>
      <c r="R36" s="103">
        <v>67.634539736577153</v>
      </c>
      <c r="S36" s="100"/>
      <c r="T36" s="103">
        <v>62.723284585079519</v>
      </c>
      <c r="U36" s="100"/>
      <c r="V36" s="119">
        <v>66.317702794677942</v>
      </c>
      <c r="W36" s="116"/>
      <c r="X36" s="119">
        <v>66.723161054184089</v>
      </c>
      <c r="Y36" s="116"/>
      <c r="Z36" s="119">
        <v>61.337841690602815</v>
      </c>
      <c r="AA36" s="116"/>
      <c r="AB36" s="155">
        <v>66.775157453694561</v>
      </c>
      <c r="AC36" s="152"/>
      <c r="AD36" s="155">
        <v>72.249332610819224</v>
      </c>
      <c r="AE36" s="152" t="s">
        <v>172</v>
      </c>
      <c r="AF36" s="155">
        <v>65.398862375138734</v>
      </c>
      <c r="AG36" s="152"/>
      <c r="AH36" s="155">
        <v>68.199559679194849</v>
      </c>
      <c r="AI36" s="152"/>
      <c r="AJ36" s="172">
        <v>71.284322385076422</v>
      </c>
      <c r="AK36" s="169"/>
      <c r="AL36" s="172">
        <v>67.137858456553644</v>
      </c>
      <c r="AM36" s="169"/>
      <c r="AN36" s="36"/>
      <c r="AO36" s="55"/>
      <c r="AP36" s="36"/>
      <c r="AQ36" s="55"/>
      <c r="AR36" s="36"/>
      <c r="AS36" s="55"/>
      <c r="AT36" s="36"/>
      <c r="AU36" s="55"/>
      <c r="AV36" s="36"/>
      <c r="AW36" s="55"/>
      <c r="AX36" s="36"/>
      <c r="AY36" s="55"/>
      <c r="AZ36" s="36"/>
      <c r="BA36" s="55"/>
      <c r="BB36" s="36"/>
      <c r="BC36" s="55"/>
      <c r="BD36" s="71">
        <v>71.615333386269398</v>
      </c>
      <c r="BE36" s="68"/>
      <c r="BF36" s="71">
        <v>67.877872296262211</v>
      </c>
      <c r="BG36" s="68"/>
      <c r="BH36" s="71">
        <v>68.878100556144091</v>
      </c>
      <c r="BI36" s="68"/>
      <c r="BJ36" s="71">
        <v>69.49101837120439</v>
      </c>
      <c r="BK36" s="68"/>
      <c r="BL36" s="87">
        <v>64.138773347179779</v>
      </c>
      <c r="BM36" s="84"/>
      <c r="BN36" s="87">
        <v>74.260966246248671</v>
      </c>
      <c r="BO36" s="84" t="s">
        <v>195</v>
      </c>
      <c r="BP36" s="103">
        <v>63.242881048825183</v>
      </c>
      <c r="BQ36" s="100"/>
      <c r="BR36" s="103">
        <v>71.700677356916401</v>
      </c>
      <c r="BS36" s="100" t="s">
        <v>197</v>
      </c>
      <c r="BT36" s="119">
        <v>75.69370899307529</v>
      </c>
      <c r="BU36" s="116" t="s">
        <v>200</v>
      </c>
      <c r="BV36" s="119">
        <v>64.459022129085099</v>
      </c>
      <c r="BW36" s="116"/>
      <c r="BX36" s="36"/>
      <c r="BY36" s="55"/>
      <c r="BZ36" s="36"/>
      <c r="CA36" s="55"/>
      <c r="CB36" s="36"/>
      <c r="CC36" s="55"/>
      <c r="CD36" s="36"/>
      <c r="CE36" s="55"/>
      <c r="CF36" s="36"/>
      <c r="CG36" s="55"/>
      <c r="CH36" s="36"/>
      <c r="CI36" s="55"/>
      <c r="CJ36" s="36"/>
      <c r="CK36" s="55"/>
      <c r="CL36" s="155">
        <v>69.508025834450891</v>
      </c>
      <c r="CM36" s="152"/>
      <c r="CN36" s="155">
        <v>70.998986452245006</v>
      </c>
      <c r="CO36" s="152"/>
      <c r="CP36" s="155">
        <v>71.17288093119825</v>
      </c>
      <c r="CQ36" s="152"/>
      <c r="CR36" s="172">
        <v>76.487977771850197</v>
      </c>
      <c r="CS36" s="169" t="s">
        <v>243</v>
      </c>
      <c r="CT36" s="172">
        <v>62.809807262057909</v>
      </c>
      <c r="CU36" s="169"/>
      <c r="CV36" s="172">
        <v>70.130767878758334</v>
      </c>
      <c r="CW36" s="169" t="s">
        <v>204</v>
      </c>
      <c r="CX36" s="36"/>
      <c r="CY36" s="55"/>
      <c r="CZ36" s="36"/>
      <c r="DA36" s="55"/>
      <c r="DB36" s="71">
        <v>70.345728508308099</v>
      </c>
      <c r="DC36" s="68"/>
      <c r="DD36" s="71">
        <v>69.361483809949547</v>
      </c>
      <c r="DE36" s="68"/>
      <c r="DF36" s="71">
        <v>67.091712907875859</v>
      </c>
      <c r="DG36" s="68"/>
    </row>
    <row r="37" spans="1:111" outlineLevel="1" x14ac:dyDescent="0.2">
      <c r="A37" s="30"/>
      <c r="B37" s="39" t="s">
        <v>73</v>
      </c>
      <c r="C37" s="36">
        <v>41.18437693774294</v>
      </c>
      <c r="D37" s="71">
        <v>44.324506943005424</v>
      </c>
      <c r="E37" s="68" t="s">
        <v>175</v>
      </c>
      <c r="F37" s="71">
        <v>36.031719099683798</v>
      </c>
      <c r="G37" s="68"/>
      <c r="H37" s="87">
        <v>44.717297102346848</v>
      </c>
      <c r="I37" s="84" t="s">
        <v>177</v>
      </c>
      <c r="J37" s="87">
        <v>33.637152693279859</v>
      </c>
      <c r="K37" s="84"/>
      <c r="L37" s="135"/>
      <c r="M37" s="132"/>
      <c r="N37" s="135"/>
      <c r="O37" s="132"/>
      <c r="P37" s="103">
        <v>41.74711299628607</v>
      </c>
      <c r="Q37" s="100"/>
      <c r="R37" s="103">
        <v>40.715850000518955</v>
      </c>
      <c r="S37" s="100"/>
      <c r="T37" s="103">
        <v>34.233620644682617</v>
      </c>
      <c r="U37" s="100"/>
      <c r="V37" s="119">
        <v>37.458883587767104</v>
      </c>
      <c r="W37" s="116"/>
      <c r="X37" s="119">
        <v>39.868313187763682</v>
      </c>
      <c r="Y37" s="116"/>
      <c r="Z37" s="119">
        <v>32.901539201364351</v>
      </c>
      <c r="AA37" s="116"/>
      <c r="AB37" s="155">
        <v>38.158328331788553</v>
      </c>
      <c r="AC37" s="152"/>
      <c r="AD37" s="155">
        <v>45.544425858030806</v>
      </c>
      <c r="AE37" s="152" t="s">
        <v>256</v>
      </c>
      <c r="AF37" s="155">
        <v>39.255522963902543</v>
      </c>
      <c r="AG37" s="152"/>
      <c r="AH37" s="155">
        <v>36.597316139854271</v>
      </c>
      <c r="AI37" s="152"/>
      <c r="AJ37" s="172">
        <v>45.354030064981913</v>
      </c>
      <c r="AK37" s="169" t="s">
        <v>187</v>
      </c>
      <c r="AL37" s="172">
        <v>37.120345178587939</v>
      </c>
      <c r="AM37" s="169"/>
      <c r="AN37" s="36"/>
      <c r="AO37" s="55"/>
      <c r="AP37" s="36"/>
      <c r="AQ37" s="55"/>
      <c r="AR37" s="36"/>
      <c r="AS37" s="55"/>
      <c r="AT37" s="36"/>
      <c r="AU37" s="55"/>
      <c r="AV37" s="36"/>
      <c r="AW37" s="55"/>
      <c r="AX37" s="36"/>
      <c r="AY37" s="55"/>
      <c r="AZ37" s="36"/>
      <c r="BA37" s="55"/>
      <c r="BB37" s="36"/>
      <c r="BC37" s="55"/>
      <c r="BD37" s="71">
        <v>44.908205384453531</v>
      </c>
      <c r="BE37" s="68" t="s">
        <v>192</v>
      </c>
      <c r="BF37" s="71">
        <v>36.973262895065908</v>
      </c>
      <c r="BG37" s="68"/>
      <c r="BH37" s="71">
        <v>42.447966227986107</v>
      </c>
      <c r="BI37" s="68"/>
      <c r="BJ37" s="71">
        <v>43.455829911503677</v>
      </c>
      <c r="BK37" s="68" t="s">
        <v>192</v>
      </c>
      <c r="BL37" s="87">
        <v>35.684372233408531</v>
      </c>
      <c r="BM37" s="84"/>
      <c r="BN37" s="87">
        <v>47.145130866353853</v>
      </c>
      <c r="BO37" s="84" t="s">
        <v>195</v>
      </c>
      <c r="BP37" s="103">
        <v>34.476526701531697</v>
      </c>
      <c r="BQ37" s="100"/>
      <c r="BR37" s="103">
        <v>43.957232081247533</v>
      </c>
      <c r="BS37" s="100" t="s">
        <v>197</v>
      </c>
      <c r="BT37" s="119">
        <v>47.175253532330842</v>
      </c>
      <c r="BU37" s="116" t="s">
        <v>200</v>
      </c>
      <c r="BV37" s="119">
        <v>36.818091862652793</v>
      </c>
      <c r="BW37" s="116"/>
      <c r="BX37" s="36"/>
      <c r="BY37" s="55"/>
      <c r="BZ37" s="36"/>
      <c r="CA37" s="55"/>
      <c r="CB37" s="36"/>
      <c r="CC37" s="55"/>
      <c r="CD37" s="36"/>
      <c r="CE37" s="55"/>
      <c r="CF37" s="36"/>
      <c r="CG37" s="55"/>
      <c r="CH37" s="36"/>
      <c r="CI37" s="55"/>
      <c r="CJ37" s="36"/>
      <c r="CK37" s="55"/>
      <c r="CL37" s="155">
        <v>40.517778318019403</v>
      </c>
      <c r="CM37" s="152"/>
      <c r="CN37" s="155">
        <v>43.716037703976482</v>
      </c>
      <c r="CO37" s="152"/>
      <c r="CP37" s="155">
        <v>45.256897011371677</v>
      </c>
      <c r="CQ37" s="152"/>
      <c r="CR37" s="172">
        <v>49.301367336486585</v>
      </c>
      <c r="CS37" s="169" t="s">
        <v>243</v>
      </c>
      <c r="CT37" s="172">
        <v>36.411256171815936</v>
      </c>
      <c r="CU37" s="169"/>
      <c r="CV37" s="172">
        <v>39.301499653673794</v>
      </c>
      <c r="CW37" s="169"/>
      <c r="CX37" s="36"/>
      <c r="CY37" s="55"/>
      <c r="CZ37" s="36"/>
      <c r="DA37" s="55"/>
      <c r="DB37" s="71">
        <v>47.375727665564263</v>
      </c>
      <c r="DC37" s="68" t="s">
        <v>245</v>
      </c>
      <c r="DD37" s="71">
        <v>39.561979461148383</v>
      </c>
      <c r="DE37" s="68"/>
      <c r="DF37" s="71">
        <v>35.868622011558081</v>
      </c>
      <c r="DG37" s="68"/>
    </row>
    <row r="38" spans="1:111" outlineLevel="1" x14ac:dyDescent="0.2">
      <c r="A38" s="30"/>
      <c r="B38" s="40" t="s">
        <v>74</v>
      </c>
      <c r="C38" s="38">
        <v>11.733922452882084</v>
      </c>
      <c r="D38" s="72">
        <v>12.336196797703122</v>
      </c>
      <c r="E38" s="68"/>
      <c r="F38" s="72">
        <v>10.7456469297976</v>
      </c>
      <c r="G38" s="68"/>
      <c r="H38" s="88">
        <v>12.603402582416962</v>
      </c>
      <c r="I38" s="84"/>
      <c r="J38" s="88">
        <v>9.876489732083467</v>
      </c>
      <c r="K38" s="84"/>
      <c r="L38" s="136"/>
      <c r="M38" s="132"/>
      <c r="N38" s="136"/>
      <c r="O38" s="132"/>
      <c r="P38" s="104">
        <v>9.1175407008915137</v>
      </c>
      <c r="Q38" s="100"/>
      <c r="R38" s="104">
        <v>14.627077127466345</v>
      </c>
      <c r="S38" s="100"/>
      <c r="T38" s="104">
        <v>9.4029739719489847</v>
      </c>
      <c r="U38" s="100"/>
      <c r="V38" s="120">
        <v>7.1133484536882801</v>
      </c>
      <c r="W38" s="116"/>
      <c r="X38" s="120">
        <v>14.962551414153003</v>
      </c>
      <c r="Y38" s="116" t="s">
        <v>183</v>
      </c>
      <c r="Z38" s="120">
        <v>9.1278135904017894</v>
      </c>
      <c r="AA38" s="116"/>
      <c r="AB38" s="156">
        <v>12.679200917751812</v>
      </c>
      <c r="AC38" s="152" t="s">
        <v>173</v>
      </c>
      <c r="AD38" s="156">
        <v>14.763512554286725</v>
      </c>
      <c r="AE38" s="152" t="s">
        <v>244</v>
      </c>
      <c r="AF38" s="156">
        <v>9.2581655303630885</v>
      </c>
      <c r="AG38" s="152"/>
      <c r="AH38" s="156">
        <v>6.0827698275410178</v>
      </c>
      <c r="AI38" s="152"/>
      <c r="AJ38" s="173">
        <v>14.233097303508419</v>
      </c>
      <c r="AK38" s="169" t="s">
        <v>187</v>
      </c>
      <c r="AL38" s="173">
        <v>9.2980541313000433</v>
      </c>
      <c r="AM38" s="169"/>
      <c r="AN38" s="38"/>
      <c r="AO38" s="55"/>
      <c r="AP38" s="38"/>
      <c r="AQ38" s="55"/>
      <c r="AR38" s="38"/>
      <c r="AS38" s="55"/>
      <c r="AT38" s="38"/>
      <c r="AU38" s="55"/>
      <c r="AV38" s="38"/>
      <c r="AW38" s="55"/>
      <c r="AX38" s="38"/>
      <c r="AY38" s="55"/>
      <c r="AZ38" s="38"/>
      <c r="BA38" s="55"/>
      <c r="BB38" s="38"/>
      <c r="BC38" s="55"/>
      <c r="BD38" s="72">
        <v>13.201025248632417</v>
      </c>
      <c r="BE38" s="68"/>
      <c r="BF38" s="72">
        <v>10.160579099211402</v>
      </c>
      <c r="BG38" s="68"/>
      <c r="BH38" s="72">
        <v>12.800158982764968</v>
      </c>
      <c r="BI38" s="68"/>
      <c r="BJ38" s="72">
        <v>11.903465719104711</v>
      </c>
      <c r="BK38" s="68"/>
      <c r="BL38" s="88">
        <v>9.1982312156183887</v>
      </c>
      <c r="BM38" s="84"/>
      <c r="BN38" s="88">
        <v>14.50884838113411</v>
      </c>
      <c r="BO38" s="84" t="s">
        <v>195</v>
      </c>
      <c r="BP38" s="104">
        <v>11.185425596106381</v>
      </c>
      <c r="BQ38" s="100"/>
      <c r="BR38" s="104">
        <v>11.968816121926467</v>
      </c>
      <c r="BS38" s="100"/>
      <c r="BT38" s="120">
        <v>15.282314731183105</v>
      </c>
      <c r="BU38" s="116" t="s">
        <v>200</v>
      </c>
      <c r="BV38" s="120">
        <v>9.1249458010659641</v>
      </c>
      <c r="BW38" s="116"/>
      <c r="BX38" s="38"/>
      <c r="BY38" s="55"/>
      <c r="BZ38" s="38"/>
      <c r="CA38" s="55"/>
      <c r="CB38" s="38"/>
      <c r="CC38" s="55"/>
      <c r="CD38" s="38"/>
      <c r="CE38" s="55"/>
      <c r="CF38" s="38"/>
      <c r="CG38" s="55"/>
      <c r="CH38" s="38"/>
      <c r="CI38" s="55"/>
      <c r="CJ38" s="38"/>
      <c r="CK38" s="55"/>
      <c r="CL38" s="156">
        <v>11.167845299164412</v>
      </c>
      <c r="CM38" s="152"/>
      <c r="CN38" s="156">
        <v>13.271529443562283</v>
      </c>
      <c r="CO38" s="152"/>
      <c r="CP38" s="156">
        <v>15.955625966749436</v>
      </c>
      <c r="CQ38" s="152" t="s">
        <v>201</v>
      </c>
      <c r="CR38" s="173">
        <v>15.339715409150317</v>
      </c>
      <c r="CS38" s="169" t="s">
        <v>243</v>
      </c>
      <c r="CT38" s="173">
        <v>8.8671538244170094</v>
      </c>
      <c r="CU38" s="169"/>
      <c r="CV38" s="173">
        <v>9.8242547519673842</v>
      </c>
      <c r="CW38" s="169"/>
      <c r="CX38" s="38"/>
      <c r="CY38" s="55"/>
      <c r="CZ38" s="38"/>
      <c r="DA38" s="55"/>
      <c r="DB38" s="72">
        <v>17.107346556281243</v>
      </c>
      <c r="DC38" s="68" t="s">
        <v>245</v>
      </c>
      <c r="DD38" s="72">
        <v>10.09491254931166</v>
      </c>
      <c r="DE38" s="68"/>
      <c r="DF38" s="72">
        <v>7.6462304551388272</v>
      </c>
      <c r="DG38" s="68"/>
    </row>
    <row r="39" spans="1:111" outlineLevel="1" x14ac:dyDescent="0.2">
      <c r="A39" s="30"/>
      <c r="B39" s="40" t="s">
        <v>75</v>
      </c>
      <c r="C39" s="38">
        <v>29.45045448486086</v>
      </c>
      <c r="D39" s="72">
        <v>31.9883101453023</v>
      </c>
      <c r="E39" s="68" t="s">
        <v>175</v>
      </c>
      <c r="F39" s="72">
        <v>25.2860721698862</v>
      </c>
      <c r="G39" s="68"/>
      <c r="H39" s="88">
        <v>32.113894519929886</v>
      </c>
      <c r="I39" s="84" t="s">
        <v>177</v>
      </c>
      <c r="J39" s="88">
        <v>23.760662961196395</v>
      </c>
      <c r="K39" s="84"/>
      <c r="L39" s="136"/>
      <c r="M39" s="132"/>
      <c r="N39" s="136"/>
      <c r="O39" s="132"/>
      <c r="P39" s="104">
        <v>32.629572295394553</v>
      </c>
      <c r="Q39" s="100"/>
      <c r="R39" s="104">
        <v>26.088772873052609</v>
      </c>
      <c r="S39" s="100"/>
      <c r="T39" s="104">
        <v>24.830646672733632</v>
      </c>
      <c r="U39" s="100"/>
      <c r="V39" s="120">
        <v>30.345535134078823</v>
      </c>
      <c r="W39" s="116"/>
      <c r="X39" s="120">
        <v>24.905761773610681</v>
      </c>
      <c r="Y39" s="116"/>
      <c r="Z39" s="120">
        <v>23.773725610962558</v>
      </c>
      <c r="AA39" s="116"/>
      <c r="AB39" s="156">
        <v>25.479127414036739</v>
      </c>
      <c r="AC39" s="152"/>
      <c r="AD39" s="156">
        <v>30.780913303744082</v>
      </c>
      <c r="AE39" s="152"/>
      <c r="AF39" s="156">
        <v>29.997357433539456</v>
      </c>
      <c r="AG39" s="152"/>
      <c r="AH39" s="156">
        <v>30.514546312313257</v>
      </c>
      <c r="AI39" s="152"/>
      <c r="AJ39" s="173">
        <v>31.12093276147349</v>
      </c>
      <c r="AK39" s="169"/>
      <c r="AL39" s="173">
        <v>27.822291047287894</v>
      </c>
      <c r="AM39" s="169"/>
      <c r="AN39" s="38"/>
      <c r="AO39" s="55"/>
      <c r="AP39" s="38"/>
      <c r="AQ39" s="55"/>
      <c r="AR39" s="38"/>
      <c r="AS39" s="55"/>
      <c r="AT39" s="38"/>
      <c r="AU39" s="55"/>
      <c r="AV39" s="38"/>
      <c r="AW39" s="55"/>
      <c r="AX39" s="38"/>
      <c r="AY39" s="55"/>
      <c r="AZ39" s="38"/>
      <c r="BA39" s="55"/>
      <c r="BB39" s="38"/>
      <c r="BC39" s="55"/>
      <c r="BD39" s="72">
        <v>31.707180135821115</v>
      </c>
      <c r="BE39" s="68"/>
      <c r="BF39" s="72">
        <v>26.812683795854507</v>
      </c>
      <c r="BG39" s="68"/>
      <c r="BH39" s="72">
        <v>29.647807245221138</v>
      </c>
      <c r="BI39" s="68"/>
      <c r="BJ39" s="72">
        <v>31.552364192398965</v>
      </c>
      <c r="BK39" s="68"/>
      <c r="BL39" s="88">
        <v>26.486141017790143</v>
      </c>
      <c r="BM39" s="84"/>
      <c r="BN39" s="88">
        <v>32.636282485219745</v>
      </c>
      <c r="BO39" s="84" t="s">
        <v>195</v>
      </c>
      <c r="BP39" s="104">
        <v>23.291101105425319</v>
      </c>
      <c r="BQ39" s="100"/>
      <c r="BR39" s="104">
        <v>31.988415959321067</v>
      </c>
      <c r="BS39" s="100" t="s">
        <v>197</v>
      </c>
      <c r="BT39" s="120">
        <v>31.892938801147736</v>
      </c>
      <c r="BU39" s="116" t="s">
        <v>200</v>
      </c>
      <c r="BV39" s="120">
        <v>27.693146061586827</v>
      </c>
      <c r="BW39" s="116"/>
      <c r="BX39" s="38"/>
      <c r="BY39" s="55"/>
      <c r="BZ39" s="38"/>
      <c r="CA39" s="55"/>
      <c r="CB39" s="38"/>
      <c r="CC39" s="55"/>
      <c r="CD39" s="38"/>
      <c r="CE39" s="55"/>
      <c r="CF39" s="38"/>
      <c r="CG39" s="55"/>
      <c r="CH39" s="38"/>
      <c r="CI39" s="55"/>
      <c r="CJ39" s="38"/>
      <c r="CK39" s="55"/>
      <c r="CL39" s="156">
        <v>29.349933018854994</v>
      </c>
      <c r="CM39" s="152"/>
      <c r="CN39" s="156">
        <v>30.444508260414203</v>
      </c>
      <c r="CO39" s="152"/>
      <c r="CP39" s="156">
        <v>29.30127104462224</v>
      </c>
      <c r="CQ39" s="152"/>
      <c r="CR39" s="173">
        <v>33.961651927336263</v>
      </c>
      <c r="CS39" s="169" t="s">
        <v>204</v>
      </c>
      <c r="CT39" s="173">
        <v>27.544102347398926</v>
      </c>
      <c r="CU39" s="169"/>
      <c r="CV39" s="173">
        <v>29.47724490170641</v>
      </c>
      <c r="CW39" s="169"/>
      <c r="CX39" s="38"/>
      <c r="CY39" s="55"/>
      <c r="CZ39" s="38"/>
      <c r="DA39" s="55"/>
      <c r="DB39" s="72">
        <v>30.268381109283016</v>
      </c>
      <c r="DC39" s="68"/>
      <c r="DD39" s="72">
        <v>29.467066911836721</v>
      </c>
      <c r="DE39" s="68"/>
      <c r="DF39" s="72">
        <v>28.222391556419254</v>
      </c>
      <c r="DG39" s="68"/>
    </row>
    <row r="40" spans="1:111" outlineLevel="1" x14ac:dyDescent="0.2">
      <c r="A40" s="30"/>
      <c r="B40" s="39"/>
      <c r="E40" s="66"/>
      <c r="G40" s="66"/>
      <c r="I40" s="82"/>
      <c r="K40" s="82"/>
      <c r="M40" s="130"/>
      <c r="O40" s="130"/>
      <c r="Q40" s="98"/>
      <c r="S40" s="98"/>
      <c r="U40" s="98"/>
      <c r="W40" s="114"/>
      <c r="Y40" s="114"/>
      <c r="AA40" s="114"/>
      <c r="AC40" s="150"/>
      <c r="AE40" s="150"/>
      <c r="AG40" s="150"/>
      <c r="AI40" s="150"/>
      <c r="AK40" s="167"/>
      <c r="AM40" s="167"/>
      <c r="AO40" s="54"/>
      <c r="AQ40" s="54"/>
      <c r="AS40" s="54"/>
      <c r="AU40" s="54"/>
      <c r="AW40" s="54"/>
      <c r="AY40" s="54"/>
      <c r="BA40" s="54"/>
      <c r="BC40" s="54"/>
      <c r="BE40" s="66"/>
      <c r="BG40" s="66"/>
      <c r="BI40" s="66"/>
      <c r="BK40" s="66"/>
      <c r="BM40" s="82"/>
      <c r="BO40" s="82"/>
      <c r="BQ40" s="98"/>
      <c r="BS40" s="98"/>
      <c r="BU40" s="114"/>
      <c r="BW40" s="114"/>
      <c r="BY40" s="54"/>
      <c r="CA40" s="54"/>
      <c r="CC40" s="54"/>
      <c r="CE40" s="54"/>
      <c r="CG40" s="54"/>
      <c r="CI40" s="54"/>
      <c r="CK40" s="54"/>
      <c r="CM40" s="150"/>
      <c r="CO40" s="150"/>
      <c r="CQ40" s="150"/>
      <c r="CS40" s="167"/>
      <c r="CU40" s="167"/>
      <c r="CW40" s="167"/>
      <c r="CY40" s="54"/>
      <c r="DA40" s="54"/>
      <c r="DC40" s="66"/>
      <c r="DE40" s="66"/>
      <c r="DG40" s="66"/>
    </row>
    <row r="41" spans="1:111" outlineLevel="1" x14ac:dyDescent="0.2">
      <c r="A41" s="30"/>
      <c r="B41" s="37" t="s">
        <v>76</v>
      </c>
      <c r="C41" s="38">
        <v>28.000118149458753</v>
      </c>
      <c r="D41" s="72">
        <v>28.363041536814773</v>
      </c>
      <c r="E41" s="68"/>
      <c r="F41" s="72">
        <v>27.404595023555991</v>
      </c>
      <c r="G41" s="68"/>
      <c r="H41" s="88">
        <v>28.372001643125653</v>
      </c>
      <c r="I41" s="84"/>
      <c r="J41" s="88">
        <v>27.205679557939344</v>
      </c>
      <c r="K41" s="84"/>
      <c r="L41" s="136"/>
      <c r="M41" s="132"/>
      <c r="N41" s="136"/>
      <c r="O41" s="132"/>
      <c r="P41" s="104">
        <v>29.451329298282747</v>
      </c>
      <c r="Q41" s="100"/>
      <c r="R41" s="104">
        <v>26.918689736058205</v>
      </c>
      <c r="S41" s="100"/>
      <c r="T41" s="104">
        <v>28.489663940396905</v>
      </c>
      <c r="U41" s="100"/>
      <c r="V41" s="120">
        <v>28.858819206910837</v>
      </c>
      <c r="W41" s="116"/>
      <c r="X41" s="120">
        <v>26.8548478664204</v>
      </c>
      <c r="Y41" s="116"/>
      <c r="Z41" s="120">
        <v>28.436302489238468</v>
      </c>
      <c r="AA41" s="116"/>
      <c r="AB41" s="156">
        <v>28.616829121906008</v>
      </c>
      <c r="AC41" s="152"/>
      <c r="AD41" s="156">
        <v>26.704906752788414</v>
      </c>
      <c r="AE41" s="152"/>
      <c r="AF41" s="156">
        <v>26.143339411236195</v>
      </c>
      <c r="AG41" s="152"/>
      <c r="AH41" s="156">
        <v>31.602243539340567</v>
      </c>
      <c r="AI41" s="152"/>
      <c r="AJ41" s="173">
        <v>25.930292320094505</v>
      </c>
      <c r="AK41" s="169"/>
      <c r="AL41" s="173">
        <v>30.017513277965705</v>
      </c>
      <c r="AM41" s="169" t="s">
        <v>186</v>
      </c>
      <c r="AN41" s="38"/>
      <c r="AO41" s="55"/>
      <c r="AP41" s="38"/>
      <c r="AQ41" s="55"/>
      <c r="AR41" s="38"/>
      <c r="AS41" s="55"/>
      <c r="AT41" s="38"/>
      <c r="AU41" s="55"/>
      <c r="AV41" s="38"/>
      <c r="AW41" s="55"/>
      <c r="AX41" s="38"/>
      <c r="AY41" s="55"/>
      <c r="AZ41" s="38"/>
      <c r="BA41" s="55"/>
      <c r="BB41" s="38"/>
      <c r="BC41" s="55"/>
      <c r="BD41" s="72">
        <v>26.707128001815867</v>
      </c>
      <c r="BE41" s="68"/>
      <c r="BF41" s="72">
        <v>30.904609401196296</v>
      </c>
      <c r="BG41" s="68"/>
      <c r="BH41" s="72">
        <v>26.43013432815798</v>
      </c>
      <c r="BI41" s="68"/>
      <c r="BJ41" s="72">
        <v>26.035188459700716</v>
      </c>
      <c r="BK41" s="68"/>
      <c r="BL41" s="88">
        <v>28.454401113771247</v>
      </c>
      <c r="BM41" s="84"/>
      <c r="BN41" s="88">
        <v>27.115835379894815</v>
      </c>
      <c r="BO41" s="84"/>
      <c r="BP41" s="104">
        <v>28.766354347293486</v>
      </c>
      <c r="BQ41" s="100"/>
      <c r="BR41" s="104">
        <v>27.743445275668865</v>
      </c>
      <c r="BS41" s="100"/>
      <c r="BT41" s="120">
        <v>28.518455460744448</v>
      </c>
      <c r="BU41" s="116"/>
      <c r="BV41" s="120">
        <v>27.64093026643231</v>
      </c>
      <c r="BW41" s="116"/>
      <c r="BX41" s="38"/>
      <c r="BY41" s="55"/>
      <c r="BZ41" s="38"/>
      <c r="CA41" s="55"/>
      <c r="CB41" s="38"/>
      <c r="CC41" s="55"/>
      <c r="CD41" s="38"/>
      <c r="CE41" s="55"/>
      <c r="CF41" s="38"/>
      <c r="CG41" s="55"/>
      <c r="CH41" s="38"/>
      <c r="CI41" s="55"/>
      <c r="CJ41" s="38"/>
      <c r="CK41" s="55"/>
      <c r="CL41" s="156">
        <v>28.990247516431481</v>
      </c>
      <c r="CM41" s="152"/>
      <c r="CN41" s="156">
        <v>27.282948748268524</v>
      </c>
      <c r="CO41" s="152"/>
      <c r="CP41" s="156">
        <v>25.915983919826573</v>
      </c>
      <c r="CQ41" s="152"/>
      <c r="CR41" s="173">
        <v>27.186610435363615</v>
      </c>
      <c r="CS41" s="169"/>
      <c r="CT41" s="173">
        <v>26.398551090241973</v>
      </c>
      <c r="CU41" s="169"/>
      <c r="CV41" s="173">
        <v>30.829268225084547</v>
      </c>
      <c r="CW41" s="169"/>
      <c r="CX41" s="38"/>
      <c r="CY41" s="55"/>
      <c r="CZ41" s="38"/>
      <c r="DA41" s="55"/>
      <c r="DB41" s="72">
        <v>22.970000842743833</v>
      </c>
      <c r="DC41" s="68"/>
      <c r="DD41" s="72">
        <v>29.799504348801172</v>
      </c>
      <c r="DE41" s="68" t="s">
        <v>206</v>
      </c>
      <c r="DF41" s="72">
        <v>31.223090896317782</v>
      </c>
      <c r="DG41" s="68" t="s">
        <v>206</v>
      </c>
    </row>
    <row r="42" spans="1:111" outlineLevel="1" x14ac:dyDescent="0.2">
      <c r="A42" s="30"/>
      <c r="B42" s="29"/>
      <c r="E42" s="66"/>
      <c r="G42" s="66"/>
      <c r="I42" s="82"/>
      <c r="K42" s="82"/>
      <c r="M42" s="130"/>
      <c r="O42" s="130"/>
      <c r="Q42" s="98"/>
      <c r="S42" s="98"/>
      <c r="U42" s="98"/>
      <c r="W42" s="114"/>
      <c r="Y42" s="114"/>
      <c r="AA42" s="114"/>
      <c r="AC42" s="150"/>
      <c r="AE42" s="150"/>
      <c r="AG42" s="150"/>
      <c r="AI42" s="150"/>
      <c r="AK42" s="167"/>
      <c r="AM42" s="167"/>
      <c r="AO42" s="54"/>
      <c r="AQ42" s="54"/>
      <c r="AS42" s="54"/>
      <c r="AU42" s="54"/>
      <c r="AW42" s="54"/>
      <c r="AY42" s="54"/>
      <c r="BA42" s="54"/>
      <c r="BC42" s="54"/>
      <c r="BE42" s="66"/>
      <c r="BG42" s="66"/>
      <c r="BI42" s="66"/>
      <c r="BK42" s="66"/>
      <c r="BM42" s="82"/>
      <c r="BO42" s="82"/>
      <c r="BQ42" s="98"/>
      <c r="BS42" s="98"/>
      <c r="BU42" s="114"/>
      <c r="BW42" s="114"/>
      <c r="BY42" s="54"/>
      <c r="CA42" s="54"/>
      <c r="CC42" s="54"/>
      <c r="CE42" s="54"/>
      <c r="CG42" s="54"/>
      <c r="CI42" s="54"/>
      <c r="CK42" s="54"/>
      <c r="CM42" s="150"/>
      <c r="CO42" s="150"/>
      <c r="CQ42" s="150"/>
      <c r="CS42" s="167"/>
      <c r="CU42" s="167"/>
      <c r="CW42" s="167"/>
      <c r="CY42" s="54"/>
      <c r="DA42" s="54"/>
      <c r="DC42" s="66"/>
      <c r="DE42" s="66"/>
      <c r="DG42" s="66"/>
    </row>
    <row r="43" spans="1:111" outlineLevel="1" x14ac:dyDescent="0.2">
      <c r="A43" s="30"/>
      <c r="B43" s="32" t="s">
        <v>77</v>
      </c>
      <c r="C43" s="38">
        <v>30.815504912798303</v>
      </c>
      <c r="D43" s="72">
        <v>27.312451520179803</v>
      </c>
      <c r="E43" s="68"/>
      <c r="F43" s="72">
        <v>36.563685876760211</v>
      </c>
      <c r="G43" s="68" t="s">
        <v>174</v>
      </c>
      <c r="H43" s="88">
        <v>26.910701254527503</v>
      </c>
      <c r="I43" s="84"/>
      <c r="J43" s="88">
        <v>39.1571677487808</v>
      </c>
      <c r="K43" s="84" t="s">
        <v>176</v>
      </c>
      <c r="L43" s="136"/>
      <c r="M43" s="132"/>
      <c r="N43" s="136"/>
      <c r="O43" s="132"/>
      <c r="P43" s="104">
        <v>28.801557705431183</v>
      </c>
      <c r="Q43" s="100"/>
      <c r="R43" s="104">
        <v>32.365460263422833</v>
      </c>
      <c r="S43" s="100"/>
      <c r="T43" s="104">
        <v>37.276715414920481</v>
      </c>
      <c r="U43" s="100"/>
      <c r="V43" s="120">
        <v>33.682297205322058</v>
      </c>
      <c r="W43" s="116"/>
      <c r="X43" s="120">
        <v>33.276838945815918</v>
      </c>
      <c r="Y43" s="116"/>
      <c r="Z43" s="120">
        <v>38.662158309397185</v>
      </c>
      <c r="AA43" s="116"/>
      <c r="AB43" s="156">
        <v>33.224842546305439</v>
      </c>
      <c r="AC43" s="152"/>
      <c r="AD43" s="156">
        <v>27.750667389180773</v>
      </c>
      <c r="AE43" s="152"/>
      <c r="AF43" s="156">
        <v>34.601137624861266</v>
      </c>
      <c r="AG43" s="152" t="s">
        <v>171</v>
      </c>
      <c r="AH43" s="156">
        <v>31.800440320805158</v>
      </c>
      <c r="AI43" s="152"/>
      <c r="AJ43" s="173">
        <v>28.715677614923578</v>
      </c>
      <c r="AK43" s="169"/>
      <c r="AL43" s="173">
        <v>32.862141543446363</v>
      </c>
      <c r="AM43" s="169"/>
      <c r="AN43" s="38"/>
      <c r="AO43" s="55"/>
      <c r="AP43" s="38"/>
      <c r="AQ43" s="55"/>
      <c r="AR43" s="38"/>
      <c r="AS43" s="55"/>
      <c r="AT43" s="38"/>
      <c r="AU43" s="55"/>
      <c r="AV43" s="38"/>
      <c r="AW43" s="55"/>
      <c r="AX43" s="38"/>
      <c r="AY43" s="55"/>
      <c r="AZ43" s="38"/>
      <c r="BA43" s="55"/>
      <c r="BB43" s="38"/>
      <c r="BC43" s="55"/>
      <c r="BD43" s="72">
        <v>28.384666613730598</v>
      </c>
      <c r="BE43" s="68"/>
      <c r="BF43" s="72">
        <v>32.122127703737789</v>
      </c>
      <c r="BG43" s="68"/>
      <c r="BH43" s="72">
        <v>31.121899443855913</v>
      </c>
      <c r="BI43" s="68"/>
      <c r="BJ43" s="72">
        <v>30.508981628795603</v>
      </c>
      <c r="BK43" s="68"/>
      <c r="BL43" s="88">
        <v>35.861226652820221</v>
      </c>
      <c r="BM43" s="84" t="s">
        <v>196</v>
      </c>
      <c r="BN43" s="88">
        <v>25.739033753751325</v>
      </c>
      <c r="BO43" s="84"/>
      <c r="BP43" s="104">
        <v>36.75711895117481</v>
      </c>
      <c r="BQ43" s="100" t="s">
        <v>198</v>
      </c>
      <c r="BR43" s="104">
        <v>28.299322643083592</v>
      </c>
      <c r="BS43" s="100"/>
      <c r="BT43" s="120">
        <v>24.306291006924702</v>
      </c>
      <c r="BU43" s="116"/>
      <c r="BV43" s="120">
        <v>35.540977870914908</v>
      </c>
      <c r="BW43" s="116" t="s">
        <v>199</v>
      </c>
      <c r="BX43" s="38"/>
      <c r="BY43" s="55"/>
      <c r="BZ43" s="38"/>
      <c r="CA43" s="55"/>
      <c r="CB43" s="38"/>
      <c r="CC43" s="55"/>
      <c r="CD43" s="38"/>
      <c r="CE43" s="55"/>
      <c r="CF43" s="38"/>
      <c r="CG43" s="55"/>
      <c r="CH43" s="38"/>
      <c r="CI43" s="55"/>
      <c r="CJ43" s="38"/>
      <c r="CK43" s="55"/>
      <c r="CL43" s="156">
        <v>30.491974165549109</v>
      </c>
      <c r="CM43" s="152"/>
      <c r="CN43" s="156">
        <v>29.00101354775499</v>
      </c>
      <c r="CO43" s="152"/>
      <c r="CP43" s="156">
        <v>28.827119068801746</v>
      </c>
      <c r="CQ43" s="152"/>
      <c r="CR43" s="173">
        <v>23.512022228149792</v>
      </c>
      <c r="CS43" s="169"/>
      <c r="CT43" s="173">
        <v>37.190192737942084</v>
      </c>
      <c r="CU43" s="169" t="s">
        <v>255</v>
      </c>
      <c r="CV43" s="173">
        <v>29.869232121241655</v>
      </c>
      <c r="CW43" s="169" t="s">
        <v>48</v>
      </c>
      <c r="CX43" s="38"/>
      <c r="CY43" s="55"/>
      <c r="CZ43" s="38"/>
      <c r="DA43" s="55"/>
      <c r="DB43" s="72">
        <v>29.654271491691908</v>
      </c>
      <c r="DC43" s="68"/>
      <c r="DD43" s="72">
        <v>30.638516190050442</v>
      </c>
      <c r="DE43" s="68"/>
      <c r="DF43" s="72">
        <v>32.908287092124141</v>
      </c>
      <c r="DG43" s="68"/>
    </row>
    <row r="44" spans="1:111" outlineLevel="1" x14ac:dyDescent="0.2">
      <c r="A44" s="30"/>
      <c r="B44" s="30"/>
      <c r="E44" s="66"/>
      <c r="G44" s="66"/>
      <c r="I44" s="82"/>
      <c r="K44" s="82"/>
      <c r="M44" s="130"/>
      <c r="O44" s="130"/>
      <c r="Q44" s="98"/>
      <c r="S44" s="98"/>
      <c r="U44" s="98"/>
      <c r="W44" s="114"/>
      <c r="Y44" s="114"/>
      <c r="AA44" s="114"/>
      <c r="AC44" s="150"/>
      <c r="AE44" s="150"/>
      <c r="AG44" s="150"/>
      <c r="AI44" s="150"/>
      <c r="AK44" s="167"/>
      <c r="AM44" s="167"/>
      <c r="AO44" s="54"/>
      <c r="AQ44" s="54"/>
      <c r="AS44" s="54"/>
      <c r="AU44" s="54"/>
      <c r="AW44" s="54"/>
      <c r="AY44" s="54"/>
      <c r="BA44" s="54"/>
      <c r="BC44" s="54"/>
      <c r="BE44" s="66"/>
      <c r="BG44" s="66"/>
      <c r="BI44" s="66"/>
      <c r="BK44" s="66"/>
      <c r="BM44" s="82"/>
      <c r="BO44" s="82"/>
      <c r="BQ44" s="98"/>
      <c r="BS44" s="98"/>
      <c r="BU44" s="114"/>
      <c r="BW44" s="114"/>
      <c r="BY44" s="54"/>
      <c r="CA44" s="54"/>
      <c r="CC44" s="54"/>
      <c r="CE44" s="54"/>
      <c r="CG44" s="54"/>
      <c r="CI44" s="54"/>
      <c r="CK44" s="54"/>
      <c r="CM44" s="150"/>
      <c r="CO44" s="150"/>
      <c r="CQ44" s="150"/>
      <c r="CS44" s="167"/>
      <c r="CU44" s="167"/>
      <c r="CW44" s="167"/>
      <c r="CY44" s="54"/>
      <c r="DA44" s="54"/>
      <c r="DC44" s="66"/>
      <c r="DE44" s="66"/>
      <c r="DG44" s="66"/>
    </row>
    <row r="45" spans="1:111" x14ac:dyDescent="0.2">
      <c r="A45" s="30"/>
      <c r="B45" s="30"/>
      <c r="E45" s="66"/>
      <c r="G45" s="66"/>
      <c r="I45" s="82"/>
      <c r="K45" s="82"/>
      <c r="M45" s="130"/>
      <c r="O45" s="130"/>
      <c r="Q45" s="98"/>
      <c r="S45" s="98"/>
      <c r="U45" s="98"/>
      <c r="W45" s="114"/>
      <c r="Y45" s="114"/>
      <c r="AA45" s="114"/>
      <c r="AC45" s="150"/>
      <c r="AE45" s="150"/>
      <c r="AG45" s="150"/>
      <c r="AI45" s="150"/>
      <c r="AK45" s="167"/>
      <c r="AM45" s="167"/>
      <c r="AO45" s="54"/>
      <c r="AQ45" s="54"/>
      <c r="AS45" s="54"/>
      <c r="AU45" s="54"/>
      <c r="AW45" s="54"/>
      <c r="AY45" s="54"/>
      <c r="BA45" s="54"/>
      <c r="BC45" s="54"/>
      <c r="BE45" s="66"/>
      <c r="BG45" s="66"/>
      <c r="BI45" s="66"/>
      <c r="BK45" s="66"/>
      <c r="BM45" s="82"/>
      <c r="BO45" s="82"/>
      <c r="BQ45" s="98"/>
      <c r="BS45" s="98"/>
      <c r="BU45" s="114"/>
      <c r="BW45" s="114"/>
      <c r="BY45" s="54"/>
      <c r="CA45" s="54"/>
      <c r="CC45" s="54"/>
      <c r="CE45" s="54"/>
      <c r="CG45" s="54"/>
      <c r="CI45" s="54"/>
      <c r="CK45" s="54"/>
      <c r="CM45" s="150"/>
      <c r="CO45" s="150"/>
      <c r="CQ45" s="150"/>
      <c r="CS45" s="167"/>
      <c r="CU45" s="167"/>
      <c r="CW45" s="167"/>
      <c r="CY45" s="54"/>
      <c r="DA45" s="54"/>
      <c r="DC45" s="66"/>
      <c r="DE45" s="66"/>
      <c r="DG45" s="66"/>
    </row>
    <row r="46" spans="1:111" x14ac:dyDescent="0.2">
      <c r="A46" s="28" t="s">
        <v>78</v>
      </c>
      <c r="B46" s="29" t="s">
        <v>79</v>
      </c>
      <c r="E46" s="66"/>
      <c r="G46" s="66"/>
      <c r="I46" s="82"/>
      <c r="K46" s="82"/>
      <c r="M46" s="130"/>
      <c r="O46" s="130"/>
      <c r="Q46" s="98"/>
      <c r="S46" s="98"/>
      <c r="U46" s="98"/>
      <c r="W46" s="114"/>
      <c r="Y46" s="114"/>
      <c r="AA46" s="114"/>
      <c r="AC46" s="150"/>
      <c r="AE46" s="150"/>
      <c r="AG46" s="150"/>
      <c r="AI46" s="150"/>
      <c r="AK46" s="167"/>
      <c r="AM46" s="167"/>
      <c r="AO46" s="54"/>
      <c r="AQ46" s="54"/>
      <c r="AS46" s="54"/>
      <c r="AU46" s="54"/>
      <c r="AW46" s="54"/>
      <c r="AY46" s="54"/>
      <c r="BA46" s="54"/>
      <c r="BC46" s="54"/>
      <c r="BE46" s="66"/>
      <c r="BG46" s="66"/>
      <c r="BI46" s="66"/>
      <c r="BK46" s="66"/>
      <c r="BM46" s="82"/>
      <c r="BO46" s="82"/>
      <c r="BQ46" s="98"/>
      <c r="BS46" s="98"/>
      <c r="BU46" s="114"/>
      <c r="BW46" s="114"/>
      <c r="BY46" s="54"/>
      <c r="CA46" s="54"/>
      <c r="CC46" s="54"/>
      <c r="CE46" s="54"/>
      <c r="CG46" s="54"/>
      <c r="CI46" s="54"/>
      <c r="CK46" s="54"/>
      <c r="CM46" s="150"/>
      <c r="CO46" s="150"/>
      <c r="CQ46" s="150"/>
      <c r="CS46" s="167"/>
      <c r="CU46" s="167"/>
      <c r="CW46" s="167"/>
      <c r="CY46" s="54"/>
      <c r="DA46" s="54"/>
      <c r="DC46" s="66"/>
      <c r="DE46" s="66"/>
      <c r="DG46" s="66"/>
    </row>
    <row r="47" spans="1:111" outlineLevel="1" x14ac:dyDescent="0.2">
      <c r="A47" s="30"/>
      <c r="B47" s="32" t="s">
        <v>80</v>
      </c>
      <c r="C47" s="31">
        <f>1300.5013769208+61.4986230791983</f>
        <v>1361.9999999999984</v>
      </c>
      <c r="D47" s="67">
        <f>860.288946922153+38.7110530778473</f>
        <v>899.00000000000023</v>
      </c>
      <c r="E47" s="68"/>
      <c r="F47" s="67">
        <f>440.630943276196+22.3690567238039</f>
        <v>462.99999999999989</v>
      </c>
      <c r="G47" s="68"/>
      <c r="H47" s="83">
        <f>941.300773435241+44.6992265647586</f>
        <v>985.99999999999966</v>
      </c>
      <c r="I47" s="84"/>
      <c r="J47" s="83">
        <f>359.312266848522+16.687733151478</f>
        <v>376</v>
      </c>
      <c r="K47" s="84"/>
      <c r="L47" s="131"/>
      <c r="M47" s="132"/>
      <c r="N47" s="131"/>
      <c r="O47" s="132"/>
      <c r="P47" s="99">
        <f>139.902460260017+9.0975397399832</f>
        <v>149.0000000000002</v>
      </c>
      <c r="Q47" s="100"/>
      <c r="R47" s="99">
        <f>122.918328191313+7.08167180868655</f>
        <v>129.99999999999955</v>
      </c>
      <c r="S47" s="100"/>
      <c r="T47" s="99">
        <f>125.45852181352+3.54147818648002</f>
        <v>129</v>
      </c>
      <c r="U47" s="100"/>
      <c r="V47" s="115">
        <f>95.4660767529652+4.53392324703481</f>
        <v>100</v>
      </c>
      <c r="W47" s="116"/>
      <c r="X47" s="115">
        <f>105.43649688707+6.56350311292968</f>
        <v>111.99999999999969</v>
      </c>
      <c r="Y47" s="116"/>
      <c r="Z47" s="115">
        <f>113.660034489954+3.33996551004645</f>
        <v>117.00000000000045</v>
      </c>
      <c r="AA47" s="116"/>
      <c r="AB47" s="151">
        <f>279.548072669328+11.4519273306722</f>
        <v>291.00000000000023</v>
      </c>
      <c r="AC47" s="152"/>
      <c r="AD47" s="151">
        <f>534.831752912792+26.1682470872081</f>
        <v>561.00000000000011</v>
      </c>
      <c r="AE47" s="152"/>
      <c r="AF47" s="151">
        <f>205.072594962701+6.92740503729908</f>
        <v>212.00000000000009</v>
      </c>
      <c r="AG47" s="152"/>
      <c r="AH47" s="151">
        <f>290.962623585378+7.03737641462249</f>
        <v>298.00000000000051</v>
      </c>
      <c r="AI47" s="152"/>
      <c r="AJ47" s="168">
        <f>654.346943246669+30.6530567533314</f>
        <v>685.00000000000034</v>
      </c>
      <c r="AK47" s="169"/>
      <c r="AL47" s="168">
        <f>646.310517807183+30.6894821928169</f>
        <v>676.99999999999989</v>
      </c>
      <c r="AM47" s="169"/>
      <c r="AN47" s="31"/>
      <c r="AO47" s="55"/>
      <c r="AP47" s="31"/>
      <c r="AQ47" s="55"/>
      <c r="AR47" s="31"/>
      <c r="AS47" s="55"/>
      <c r="AT47" s="31"/>
      <c r="AU47" s="55"/>
      <c r="AV47" s="31"/>
      <c r="AW47" s="55"/>
      <c r="AX47" s="31"/>
      <c r="AY47" s="55"/>
      <c r="AZ47" s="31"/>
      <c r="BA47" s="55"/>
      <c r="BB47" s="31"/>
      <c r="BC47" s="55"/>
      <c r="BD47" s="67">
        <f>270.064985551963+7.93501444803724</f>
        <v>278.00000000000023</v>
      </c>
      <c r="BE47" s="68"/>
      <c r="BF47" s="67">
        <f>506.04934361379+14.9506563862103</f>
        <v>521.00000000000023</v>
      </c>
      <c r="BG47" s="68"/>
      <c r="BH47" s="67">
        <f>281.884103460729+10.1158965392713</f>
        <v>292.00000000000034</v>
      </c>
      <c r="BI47" s="68"/>
      <c r="BJ47" s="67">
        <f>253.013778089217+17.9862219107833</f>
        <v>271.00000000000028</v>
      </c>
      <c r="BK47" s="68"/>
      <c r="BL47" s="83">
        <f>571.829528688591+27.1704713114091</f>
        <v>599.00000000000011</v>
      </c>
      <c r="BM47" s="84"/>
      <c r="BN47" s="83">
        <f>683.851078051582+32.1489219484182</f>
        <v>716.00000000000023</v>
      </c>
      <c r="BO47" s="84"/>
      <c r="BP47" s="99">
        <f>356.687034746884+14.3129652531165</f>
        <v>371.00000000000051</v>
      </c>
      <c r="BQ47" s="100"/>
      <c r="BR47" s="99">
        <f>939.068410184688+46.9315898153122</f>
        <v>986.00000000000023</v>
      </c>
      <c r="BS47" s="100"/>
      <c r="BT47" s="115">
        <f>608.588701710768+29.4112982892318</f>
        <v>637.99999999999977</v>
      </c>
      <c r="BU47" s="116"/>
      <c r="BV47" s="115">
        <f>689.089753244187+31.9102467558131</f>
        <v>721.00000000000011</v>
      </c>
      <c r="BW47" s="116"/>
      <c r="BX47" s="31"/>
      <c r="BY47" s="55"/>
      <c r="BZ47" s="31"/>
      <c r="CA47" s="55"/>
      <c r="CB47" s="31"/>
      <c r="CC47" s="55"/>
      <c r="CD47" s="31"/>
      <c r="CE47" s="55"/>
      <c r="CF47" s="31"/>
      <c r="CG47" s="55"/>
      <c r="CH47" s="31"/>
      <c r="CI47" s="55"/>
      <c r="CJ47" s="31"/>
      <c r="CK47" s="55"/>
      <c r="CL47" s="151">
        <f>940.249137445561+38.7508625544393</f>
        <v>979.00000000000034</v>
      </c>
      <c r="CM47" s="152"/>
      <c r="CN47" s="151">
        <f>209.570402408806+12.4295975911945</f>
        <v>222.00000000000048</v>
      </c>
      <c r="CO47" s="152"/>
      <c r="CP47" s="151">
        <f>188.415566595822+14.5844334041781</f>
        <v>203.00000000000011</v>
      </c>
      <c r="CQ47" s="152"/>
      <c r="CR47" s="168">
        <f>588.470865774236+29.5291342257639</f>
        <v>617.99999999999989</v>
      </c>
      <c r="CS47" s="169"/>
      <c r="CT47" s="168">
        <f>313.287644265288+11.712355734712</f>
        <v>325</v>
      </c>
      <c r="CU47" s="169"/>
      <c r="CV47" s="168">
        <f>295.372242652359+15.6277573476412</f>
        <v>311.00000000000017</v>
      </c>
      <c r="CW47" s="169"/>
      <c r="CX47" s="31"/>
      <c r="CY47" s="55"/>
      <c r="CZ47" s="31"/>
      <c r="DA47" s="55"/>
      <c r="DB47" s="67">
        <f>396.81332626326+21.1866737367405</f>
        <v>418.00000000000051</v>
      </c>
      <c r="DC47" s="68"/>
      <c r="DD47" s="67">
        <f>636.383320248446+28.616679751554</f>
        <v>665</v>
      </c>
      <c r="DE47" s="68"/>
      <c r="DF47" s="67">
        <f>267.682122430324+11.3178775696762</f>
        <v>279.00000000000023</v>
      </c>
      <c r="DG47" s="68"/>
    </row>
    <row r="48" spans="1:111" s="35" customFormat="1" outlineLevel="1" x14ac:dyDescent="0.2">
      <c r="A48" s="30"/>
      <c r="B48" s="33"/>
      <c r="C48" s="34" t="s">
        <v>167</v>
      </c>
      <c r="D48" s="69" t="s">
        <v>167</v>
      </c>
      <c r="E48" s="70"/>
      <c r="F48" s="69" t="s">
        <v>167</v>
      </c>
      <c r="G48" s="70"/>
      <c r="H48" s="85" t="s">
        <v>167</v>
      </c>
      <c r="I48" s="86"/>
      <c r="J48" s="85" t="s">
        <v>167</v>
      </c>
      <c r="K48" s="86"/>
      <c r="L48" s="133"/>
      <c r="M48" s="134"/>
      <c r="N48" s="133"/>
      <c r="O48" s="134"/>
      <c r="P48" s="101" t="s">
        <v>167</v>
      </c>
      <c r="Q48" s="102"/>
      <c r="R48" s="101" t="s">
        <v>167</v>
      </c>
      <c r="S48" s="102"/>
      <c r="T48" s="101" t="s">
        <v>167</v>
      </c>
      <c r="U48" s="102"/>
      <c r="V48" s="117" t="s">
        <v>167</v>
      </c>
      <c r="W48" s="118"/>
      <c r="X48" s="117" t="s">
        <v>167</v>
      </c>
      <c r="Y48" s="118"/>
      <c r="Z48" s="117" t="s">
        <v>167</v>
      </c>
      <c r="AA48" s="118"/>
      <c r="AB48" s="153" t="s">
        <v>167</v>
      </c>
      <c r="AC48" s="154"/>
      <c r="AD48" s="153" t="s">
        <v>167</v>
      </c>
      <c r="AE48" s="154"/>
      <c r="AF48" s="153" t="s">
        <v>167</v>
      </c>
      <c r="AG48" s="154"/>
      <c r="AH48" s="153" t="s">
        <v>167</v>
      </c>
      <c r="AI48" s="154"/>
      <c r="AJ48" s="170" t="s">
        <v>167</v>
      </c>
      <c r="AK48" s="171"/>
      <c r="AL48" s="170" t="s">
        <v>167</v>
      </c>
      <c r="AM48" s="171"/>
      <c r="AN48" s="34"/>
      <c r="AO48" s="56"/>
      <c r="AP48" s="34"/>
      <c r="AQ48" s="56"/>
      <c r="AR48" s="34"/>
      <c r="AS48" s="56"/>
      <c r="AT48" s="34"/>
      <c r="AU48" s="56"/>
      <c r="AV48" s="34"/>
      <c r="AW48" s="56"/>
      <c r="AX48" s="34"/>
      <c r="AY48" s="56"/>
      <c r="AZ48" s="34"/>
      <c r="BA48" s="56"/>
      <c r="BB48" s="34"/>
      <c r="BC48" s="56"/>
      <c r="BD48" s="69" t="s">
        <v>167</v>
      </c>
      <c r="BE48" s="70"/>
      <c r="BF48" s="69" t="s">
        <v>167</v>
      </c>
      <c r="BG48" s="70"/>
      <c r="BH48" s="69" t="s">
        <v>167</v>
      </c>
      <c r="BI48" s="70"/>
      <c r="BJ48" s="69" t="s">
        <v>167</v>
      </c>
      <c r="BK48" s="70"/>
      <c r="BL48" s="85" t="s">
        <v>167</v>
      </c>
      <c r="BM48" s="86"/>
      <c r="BN48" s="85" t="s">
        <v>167</v>
      </c>
      <c r="BO48" s="86"/>
      <c r="BP48" s="101" t="s">
        <v>167</v>
      </c>
      <c r="BQ48" s="102"/>
      <c r="BR48" s="101" t="s">
        <v>167</v>
      </c>
      <c r="BS48" s="102"/>
      <c r="BT48" s="117" t="s">
        <v>167</v>
      </c>
      <c r="BU48" s="118"/>
      <c r="BV48" s="117" t="s">
        <v>167</v>
      </c>
      <c r="BW48" s="118"/>
      <c r="BX48" s="34"/>
      <c r="BY48" s="56"/>
      <c r="BZ48" s="34"/>
      <c r="CA48" s="56"/>
      <c r="CB48" s="34"/>
      <c r="CC48" s="56"/>
      <c r="CD48" s="34"/>
      <c r="CE48" s="56"/>
      <c r="CF48" s="34"/>
      <c r="CG48" s="56"/>
      <c r="CH48" s="34"/>
      <c r="CI48" s="56"/>
      <c r="CJ48" s="34"/>
      <c r="CK48" s="56"/>
      <c r="CL48" s="153" t="s">
        <v>167</v>
      </c>
      <c r="CM48" s="154"/>
      <c r="CN48" s="153" t="s">
        <v>167</v>
      </c>
      <c r="CO48" s="154"/>
      <c r="CP48" s="153" t="s">
        <v>167</v>
      </c>
      <c r="CQ48" s="154"/>
      <c r="CR48" s="170" t="s">
        <v>167</v>
      </c>
      <c r="CS48" s="171"/>
      <c r="CT48" s="170" t="s">
        <v>167</v>
      </c>
      <c r="CU48" s="171"/>
      <c r="CV48" s="170" t="s">
        <v>167</v>
      </c>
      <c r="CW48" s="171"/>
      <c r="CX48" s="34"/>
      <c r="CY48" s="56"/>
      <c r="CZ48" s="34"/>
      <c r="DA48" s="56"/>
      <c r="DB48" s="69" t="s">
        <v>167</v>
      </c>
      <c r="DC48" s="70"/>
      <c r="DD48" s="69" t="s">
        <v>167</v>
      </c>
      <c r="DE48" s="70"/>
      <c r="DF48" s="69" t="s">
        <v>167</v>
      </c>
      <c r="DG48" s="70"/>
    </row>
    <row r="49" spans="1:111" outlineLevel="1" x14ac:dyDescent="0.2">
      <c r="A49" s="30"/>
      <c r="B49" s="30"/>
      <c r="E49" s="66"/>
      <c r="G49" s="66"/>
      <c r="I49" s="82"/>
      <c r="K49" s="82"/>
      <c r="M49" s="130"/>
      <c r="O49" s="130"/>
      <c r="Q49" s="98"/>
      <c r="S49" s="98"/>
      <c r="U49" s="98"/>
      <c r="W49" s="114"/>
      <c r="Y49" s="114"/>
      <c r="AA49" s="114"/>
      <c r="AC49" s="150"/>
      <c r="AE49" s="150"/>
      <c r="AG49" s="150"/>
      <c r="AI49" s="150"/>
      <c r="AK49" s="167"/>
      <c r="AM49" s="167"/>
      <c r="AO49" s="54"/>
      <c r="AQ49" s="54"/>
      <c r="AS49" s="54"/>
      <c r="AU49" s="54"/>
      <c r="AW49" s="54"/>
      <c r="AY49" s="54"/>
      <c r="BA49" s="54"/>
      <c r="BC49" s="54"/>
      <c r="BE49" s="66"/>
      <c r="BG49" s="66"/>
      <c r="BI49" s="66"/>
      <c r="BK49" s="66"/>
      <c r="BM49" s="82"/>
      <c r="BO49" s="82"/>
      <c r="BQ49" s="98"/>
      <c r="BS49" s="98"/>
      <c r="BU49" s="114"/>
      <c r="BW49" s="114"/>
      <c r="BY49" s="54"/>
      <c r="CA49" s="54"/>
      <c r="CC49" s="54"/>
      <c r="CE49" s="54"/>
      <c r="CG49" s="54"/>
      <c r="CI49" s="54"/>
      <c r="CK49" s="54"/>
      <c r="CM49" s="150"/>
      <c r="CO49" s="150"/>
      <c r="CQ49" s="150"/>
      <c r="CS49" s="167"/>
      <c r="CU49" s="167"/>
      <c r="CW49" s="167"/>
      <c r="CY49" s="54"/>
      <c r="DA49" s="54"/>
      <c r="DC49" s="66"/>
      <c r="DE49" s="66"/>
      <c r="DG49" s="66"/>
    </row>
    <row r="50" spans="1:111" outlineLevel="1" x14ac:dyDescent="0.2">
      <c r="A50" s="30"/>
      <c r="B50" s="29" t="s">
        <v>81</v>
      </c>
      <c r="C50" s="36">
        <v>61.065714975306484</v>
      </c>
      <c r="D50" s="71">
        <v>62.894994308668757</v>
      </c>
      <c r="E50" s="68"/>
      <c r="F50" s="71">
        <v>57.626290448110517</v>
      </c>
      <c r="G50" s="68"/>
      <c r="H50" s="87">
        <v>64.394259534167205</v>
      </c>
      <c r="I50" s="84" t="s">
        <v>177</v>
      </c>
      <c r="J50" s="87">
        <v>52.523860301146563</v>
      </c>
      <c r="K50" s="84"/>
      <c r="L50" s="135"/>
      <c r="M50" s="132"/>
      <c r="N50" s="135"/>
      <c r="O50" s="132"/>
      <c r="P50" s="103">
        <v>72.118483364938228</v>
      </c>
      <c r="Q50" s="100" t="s">
        <v>250</v>
      </c>
      <c r="R50" s="103">
        <v>52.662941185948959</v>
      </c>
      <c r="S50" s="100"/>
      <c r="T50" s="103">
        <v>43.302002672283344</v>
      </c>
      <c r="U50" s="100"/>
      <c r="V50" s="119">
        <v>64.185758788868355</v>
      </c>
      <c r="W50" s="116" t="s">
        <v>185</v>
      </c>
      <c r="X50" s="119">
        <v>51.505837050817043</v>
      </c>
      <c r="Y50" s="116"/>
      <c r="Z50" s="119">
        <v>39.600398602351817</v>
      </c>
      <c r="AA50" s="116"/>
      <c r="AB50" s="155">
        <v>63.399264237139349</v>
      </c>
      <c r="AC50" s="152" t="s">
        <v>173</v>
      </c>
      <c r="AD50" s="155">
        <v>67.872253181864096</v>
      </c>
      <c r="AE50" s="152" t="s">
        <v>173</v>
      </c>
      <c r="AF50" s="155">
        <v>62.909631443451275</v>
      </c>
      <c r="AG50" s="152" t="s">
        <v>173</v>
      </c>
      <c r="AH50" s="155">
        <v>41.498359393194534</v>
      </c>
      <c r="AI50" s="152"/>
      <c r="AJ50" s="172">
        <v>59.579544056177234</v>
      </c>
      <c r="AK50" s="169"/>
      <c r="AL50" s="172">
        <v>62.603701272174426</v>
      </c>
      <c r="AM50" s="169"/>
      <c r="AN50" s="36"/>
      <c r="AO50" s="55"/>
      <c r="AP50" s="36"/>
      <c r="AQ50" s="55"/>
      <c r="AR50" s="36"/>
      <c r="AS50" s="55"/>
      <c r="AT50" s="36"/>
      <c r="AU50" s="55"/>
      <c r="AV50" s="36"/>
      <c r="AW50" s="55"/>
      <c r="AX50" s="36"/>
      <c r="AY50" s="55"/>
      <c r="AZ50" s="36"/>
      <c r="BA50" s="55"/>
      <c r="BB50" s="36"/>
      <c r="BC50" s="55"/>
      <c r="BD50" s="71">
        <v>63.744273281685849</v>
      </c>
      <c r="BE50" s="68"/>
      <c r="BF50" s="71">
        <v>61.563458136823797</v>
      </c>
      <c r="BG50" s="68"/>
      <c r="BH50" s="71">
        <v>58.151802172960011</v>
      </c>
      <c r="BI50" s="68"/>
      <c r="BJ50" s="71">
        <v>60.833360886431521</v>
      </c>
      <c r="BK50" s="68"/>
      <c r="BL50" s="87">
        <v>59.793289913968103</v>
      </c>
      <c r="BM50" s="84"/>
      <c r="BN50" s="87">
        <v>62.210428196219283</v>
      </c>
      <c r="BO50" s="84"/>
      <c r="BP50" s="103">
        <v>59.800463169433563</v>
      </c>
      <c r="BQ50" s="100"/>
      <c r="BR50" s="103">
        <v>61.504471355899746</v>
      </c>
      <c r="BS50" s="100"/>
      <c r="BT50" s="119">
        <v>61.709169656831435</v>
      </c>
      <c r="BU50" s="116"/>
      <c r="BV50" s="119">
        <v>60.303604995272629</v>
      </c>
      <c r="BW50" s="116"/>
      <c r="BX50" s="36"/>
      <c r="BY50" s="55"/>
      <c r="BZ50" s="36"/>
      <c r="CA50" s="55"/>
      <c r="CB50" s="36"/>
      <c r="CC50" s="55"/>
      <c r="CD50" s="36"/>
      <c r="CE50" s="55"/>
      <c r="CF50" s="36"/>
      <c r="CG50" s="55"/>
      <c r="CH50" s="36"/>
      <c r="CI50" s="55"/>
      <c r="CJ50" s="36"/>
      <c r="CK50" s="55"/>
      <c r="CL50" s="155">
        <v>57.280583156958926</v>
      </c>
      <c r="CM50" s="152"/>
      <c r="CN50" s="155">
        <v>67.870458182468795</v>
      </c>
      <c r="CO50" s="152" t="s">
        <v>201</v>
      </c>
      <c r="CP50" s="155">
        <v>68.731627065243444</v>
      </c>
      <c r="CQ50" s="152" t="s">
        <v>201</v>
      </c>
      <c r="CR50" s="172">
        <v>70.232019208335998</v>
      </c>
      <c r="CS50" s="169" t="s">
        <v>243</v>
      </c>
      <c r="CT50" s="172">
        <v>48.973335162127704</v>
      </c>
      <c r="CU50" s="169"/>
      <c r="CV50" s="172">
        <v>54.366889238343802</v>
      </c>
      <c r="CW50" s="169"/>
      <c r="CX50" s="36"/>
      <c r="CY50" s="55"/>
      <c r="CZ50" s="36"/>
      <c r="DA50" s="55"/>
      <c r="DB50" s="71">
        <v>73.627461764340168</v>
      </c>
      <c r="DC50" s="68" t="s">
        <v>245</v>
      </c>
      <c r="DD50" s="71">
        <v>56.917820438876483</v>
      </c>
      <c r="DE50" s="68"/>
      <c r="DF50" s="71">
        <v>51.662729373906608</v>
      </c>
      <c r="DG50" s="68"/>
    </row>
    <row r="51" spans="1:111" outlineLevel="1" x14ac:dyDescent="0.2">
      <c r="A51" s="30"/>
      <c r="B51" s="37" t="s">
        <v>82</v>
      </c>
      <c r="C51" s="38">
        <v>25.102831057985259</v>
      </c>
      <c r="D51" s="72">
        <v>26.410720548420297</v>
      </c>
      <c r="E51" s="68"/>
      <c r="F51" s="72">
        <v>22.643727568308847</v>
      </c>
      <c r="G51" s="68"/>
      <c r="H51" s="88">
        <v>27.81736302117487</v>
      </c>
      <c r="I51" s="84" t="s">
        <v>177</v>
      </c>
      <c r="J51" s="88">
        <v>18.136682001574822</v>
      </c>
      <c r="K51" s="84"/>
      <c r="L51" s="136"/>
      <c r="M51" s="132"/>
      <c r="N51" s="136"/>
      <c r="O51" s="132"/>
      <c r="P51" s="104">
        <v>33.495145954628924</v>
      </c>
      <c r="Q51" s="100" t="s">
        <v>250</v>
      </c>
      <c r="R51" s="104">
        <v>20.753761479716129</v>
      </c>
      <c r="S51" s="100"/>
      <c r="T51" s="104">
        <v>13.797684277809653</v>
      </c>
      <c r="U51" s="100"/>
      <c r="V51" s="120">
        <v>22.718910611227106</v>
      </c>
      <c r="W51" s="116" t="s">
        <v>185</v>
      </c>
      <c r="X51" s="120">
        <v>20.814701367339065</v>
      </c>
      <c r="Y51" s="116"/>
      <c r="Z51" s="120">
        <v>11.201081678769514</v>
      </c>
      <c r="AA51" s="116"/>
      <c r="AB51" s="156">
        <v>23.156086327517936</v>
      </c>
      <c r="AC51" s="152" t="s">
        <v>173</v>
      </c>
      <c r="AD51" s="156">
        <v>30.393365829251277</v>
      </c>
      <c r="AE51" s="152" t="s">
        <v>256</v>
      </c>
      <c r="AF51" s="156">
        <v>26.066553224244757</v>
      </c>
      <c r="AG51" s="152" t="s">
        <v>173</v>
      </c>
      <c r="AH51" s="156">
        <v>14.315668275375986</v>
      </c>
      <c r="AI51" s="152"/>
      <c r="AJ51" s="173">
        <v>25.005399338612264</v>
      </c>
      <c r="AK51" s="169"/>
      <c r="AL51" s="173">
        <v>25.203659736132021</v>
      </c>
      <c r="AM51" s="169"/>
      <c r="AN51" s="38"/>
      <c r="AO51" s="55"/>
      <c r="AP51" s="38"/>
      <c r="AQ51" s="55"/>
      <c r="AR51" s="38"/>
      <c r="AS51" s="55"/>
      <c r="AT51" s="38"/>
      <c r="AU51" s="55"/>
      <c r="AV51" s="38"/>
      <c r="AW51" s="55"/>
      <c r="AX51" s="38"/>
      <c r="AY51" s="55"/>
      <c r="AZ51" s="38"/>
      <c r="BA51" s="55"/>
      <c r="BB51" s="38"/>
      <c r="BC51" s="55"/>
      <c r="BD51" s="72">
        <v>24.708624273520609</v>
      </c>
      <c r="BE51" s="68"/>
      <c r="BF51" s="72">
        <v>24.57446975918695</v>
      </c>
      <c r="BG51" s="68"/>
      <c r="BH51" s="72">
        <v>22.687532681550966</v>
      </c>
      <c r="BI51" s="68"/>
      <c r="BJ51" s="72">
        <v>28.765839376458768</v>
      </c>
      <c r="BK51" s="68"/>
      <c r="BL51" s="88">
        <v>23.324495582656628</v>
      </c>
      <c r="BM51" s="84"/>
      <c r="BN51" s="88">
        <v>26.272382520709645</v>
      </c>
      <c r="BO51" s="84"/>
      <c r="BP51" s="104">
        <v>24.222518444782281</v>
      </c>
      <c r="BQ51" s="100"/>
      <c r="BR51" s="104">
        <v>25.56721758447928</v>
      </c>
      <c r="BS51" s="100"/>
      <c r="BT51" s="120">
        <v>27.406021672148746</v>
      </c>
      <c r="BU51" s="116"/>
      <c r="BV51" s="120">
        <v>23.16541287108377</v>
      </c>
      <c r="BW51" s="116"/>
      <c r="BX51" s="38"/>
      <c r="BY51" s="55"/>
      <c r="BZ51" s="38"/>
      <c r="CA51" s="55"/>
      <c r="CB51" s="38"/>
      <c r="CC51" s="55"/>
      <c r="CD51" s="38"/>
      <c r="CE51" s="55"/>
      <c r="CF51" s="38"/>
      <c r="CG51" s="55"/>
      <c r="CH51" s="38"/>
      <c r="CI51" s="55"/>
      <c r="CJ51" s="38"/>
      <c r="CK51" s="55"/>
      <c r="CL51" s="156">
        <v>22.067466857991349</v>
      </c>
      <c r="CM51" s="152"/>
      <c r="CN51" s="156">
        <v>35.460021632177792</v>
      </c>
      <c r="CO51" s="152" t="s">
        <v>201</v>
      </c>
      <c r="CP51" s="156">
        <v>32.332968645278761</v>
      </c>
      <c r="CQ51" s="152" t="s">
        <v>201</v>
      </c>
      <c r="CR51" s="173">
        <v>32.936730171105424</v>
      </c>
      <c r="CS51" s="169" t="s">
        <v>243</v>
      </c>
      <c r="CT51" s="173">
        <v>17.630244448847098</v>
      </c>
      <c r="CU51" s="169"/>
      <c r="CV51" s="173">
        <v>19.208358376077523</v>
      </c>
      <c r="CW51" s="169"/>
      <c r="CX51" s="38"/>
      <c r="CY51" s="55"/>
      <c r="CZ51" s="38"/>
      <c r="DA51" s="55"/>
      <c r="DB51" s="72">
        <v>37.84165797855551</v>
      </c>
      <c r="DC51" s="68" t="s">
        <v>245</v>
      </c>
      <c r="DD51" s="72">
        <v>21.167185588386239</v>
      </c>
      <c r="DE51" s="68" t="s">
        <v>208</v>
      </c>
      <c r="DF51" s="72">
        <v>14.930068207896355</v>
      </c>
      <c r="DG51" s="68"/>
    </row>
    <row r="52" spans="1:111" outlineLevel="1" x14ac:dyDescent="0.2">
      <c r="A52" s="30"/>
      <c r="B52" s="37" t="s">
        <v>83</v>
      </c>
      <c r="C52" s="38">
        <v>35.962883917321221</v>
      </c>
      <c r="D52" s="72">
        <v>36.484273760248463</v>
      </c>
      <c r="E52" s="68"/>
      <c r="F52" s="72">
        <v>34.982562879801669</v>
      </c>
      <c r="G52" s="68"/>
      <c r="H52" s="88">
        <v>36.576896512992334</v>
      </c>
      <c r="I52" s="84"/>
      <c r="J52" s="88">
        <v>34.387178299571737</v>
      </c>
      <c r="K52" s="84"/>
      <c r="L52" s="136"/>
      <c r="M52" s="132"/>
      <c r="N52" s="136"/>
      <c r="O52" s="132"/>
      <c r="P52" s="104">
        <v>38.623337410309304</v>
      </c>
      <c r="Q52" s="100"/>
      <c r="R52" s="104">
        <v>31.909179706232827</v>
      </c>
      <c r="S52" s="100"/>
      <c r="T52" s="104">
        <v>29.504318394473689</v>
      </c>
      <c r="U52" s="100"/>
      <c r="V52" s="120">
        <v>41.466848177641253</v>
      </c>
      <c r="W52" s="116" t="s">
        <v>185</v>
      </c>
      <c r="X52" s="120">
        <v>30.691135683477981</v>
      </c>
      <c r="Y52" s="116"/>
      <c r="Z52" s="120">
        <v>28.399316923582305</v>
      </c>
      <c r="AA52" s="116"/>
      <c r="AB52" s="156">
        <v>40.243177909621416</v>
      </c>
      <c r="AC52" s="152" t="s">
        <v>173</v>
      </c>
      <c r="AD52" s="156">
        <v>37.478887352612816</v>
      </c>
      <c r="AE52" s="152" t="s">
        <v>173</v>
      </c>
      <c r="AF52" s="156">
        <v>36.843078219206518</v>
      </c>
      <c r="AG52" s="152" t="s">
        <v>173</v>
      </c>
      <c r="AH52" s="156">
        <v>27.18269111781855</v>
      </c>
      <c r="AI52" s="152"/>
      <c r="AJ52" s="173">
        <v>34.57414471756497</v>
      </c>
      <c r="AK52" s="169"/>
      <c r="AL52" s="173">
        <v>37.400041536042401</v>
      </c>
      <c r="AM52" s="169"/>
      <c r="AN52" s="38"/>
      <c r="AO52" s="55"/>
      <c r="AP52" s="38"/>
      <c r="AQ52" s="55"/>
      <c r="AR52" s="38"/>
      <c r="AS52" s="55"/>
      <c r="AT52" s="38"/>
      <c r="AU52" s="55"/>
      <c r="AV52" s="38"/>
      <c r="AW52" s="55"/>
      <c r="AX52" s="38"/>
      <c r="AY52" s="55"/>
      <c r="AZ52" s="38"/>
      <c r="BA52" s="55"/>
      <c r="BB52" s="38"/>
      <c r="BC52" s="55"/>
      <c r="BD52" s="72">
        <v>39.035649008165237</v>
      </c>
      <c r="BE52" s="68"/>
      <c r="BF52" s="72">
        <v>36.988988377636851</v>
      </c>
      <c r="BG52" s="68"/>
      <c r="BH52" s="72">
        <v>35.464269491409041</v>
      </c>
      <c r="BI52" s="68"/>
      <c r="BJ52" s="72">
        <v>32.067521509972757</v>
      </c>
      <c r="BK52" s="68"/>
      <c r="BL52" s="88">
        <v>36.468794331311472</v>
      </c>
      <c r="BM52" s="84"/>
      <c r="BN52" s="88">
        <v>35.938045675509635</v>
      </c>
      <c r="BO52" s="84"/>
      <c r="BP52" s="104">
        <v>35.577944724651275</v>
      </c>
      <c r="BQ52" s="100"/>
      <c r="BR52" s="104">
        <v>35.937253771420465</v>
      </c>
      <c r="BS52" s="100"/>
      <c r="BT52" s="120">
        <v>34.303147984682688</v>
      </c>
      <c r="BU52" s="116"/>
      <c r="BV52" s="120">
        <v>37.138192124188855</v>
      </c>
      <c r="BW52" s="116"/>
      <c r="BX52" s="38"/>
      <c r="BY52" s="55"/>
      <c r="BZ52" s="38"/>
      <c r="CA52" s="55"/>
      <c r="CB52" s="38"/>
      <c r="CC52" s="55"/>
      <c r="CD52" s="38"/>
      <c r="CE52" s="55"/>
      <c r="CF52" s="38"/>
      <c r="CG52" s="55"/>
      <c r="CH52" s="38"/>
      <c r="CI52" s="55"/>
      <c r="CJ52" s="38"/>
      <c r="CK52" s="55"/>
      <c r="CL52" s="156">
        <v>35.213116298967577</v>
      </c>
      <c r="CM52" s="152"/>
      <c r="CN52" s="156">
        <v>32.410436550291003</v>
      </c>
      <c r="CO52" s="152"/>
      <c r="CP52" s="156">
        <v>36.39865841996469</v>
      </c>
      <c r="CQ52" s="152"/>
      <c r="CR52" s="173">
        <v>37.295289037230582</v>
      </c>
      <c r="CS52" s="169"/>
      <c r="CT52" s="173">
        <v>31.343090713280603</v>
      </c>
      <c r="CU52" s="169"/>
      <c r="CV52" s="173">
        <v>35.158530862266282</v>
      </c>
      <c r="CW52" s="169"/>
      <c r="CX52" s="38"/>
      <c r="CY52" s="55"/>
      <c r="CZ52" s="38"/>
      <c r="DA52" s="55"/>
      <c r="DB52" s="72">
        <v>35.785803785784658</v>
      </c>
      <c r="DC52" s="68"/>
      <c r="DD52" s="72">
        <v>35.75063485049025</v>
      </c>
      <c r="DE52" s="68"/>
      <c r="DF52" s="72">
        <v>36.732661166010253</v>
      </c>
      <c r="DG52" s="68"/>
    </row>
    <row r="53" spans="1:111" outlineLevel="1" x14ac:dyDescent="0.2">
      <c r="A53" s="30"/>
      <c r="B53" s="29"/>
      <c r="E53" s="66"/>
      <c r="G53" s="66"/>
      <c r="I53" s="82"/>
      <c r="K53" s="82"/>
      <c r="M53" s="130"/>
      <c r="O53" s="130"/>
      <c r="Q53" s="98"/>
      <c r="S53" s="98"/>
      <c r="U53" s="98"/>
      <c r="W53" s="114"/>
      <c r="Y53" s="114"/>
      <c r="AA53" s="114"/>
      <c r="AC53" s="150"/>
      <c r="AE53" s="150"/>
      <c r="AG53" s="150"/>
      <c r="AI53" s="150"/>
      <c r="AK53" s="167"/>
      <c r="AM53" s="167"/>
      <c r="AO53" s="54"/>
      <c r="AQ53" s="54"/>
      <c r="AS53" s="54"/>
      <c r="AU53" s="54"/>
      <c r="AW53" s="54"/>
      <c r="AY53" s="54"/>
      <c r="BA53" s="54"/>
      <c r="BC53" s="54"/>
      <c r="BE53" s="66"/>
      <c r="BG53" s="66"/>
      <c r="BI53" s="66"/>
      <c r="BK53" s="66"/>
      <c r="BM53" s="82"/>
      <c r="BO53" s="82"/>
      <c r="BQ53" s="98"/>
      <c r="BS53" s="98"/>
      <c r="BU53" s="114"/>
      <c r="BW53" s="114"/>
      <c r="BY53" s="54"/>
      <c r="CA53" s="54"/>
      <c r="CC53" s="54"/>
      <c r="CE53" s="54"/>
      <c r="CG53" s="54"/>
      <c r="CI53" s="54"/>
      <c r="CK53" s="54"/>
      <c r="CM53" s="150"/>
      <c r="CO53" s="150"/>
      <c r="CQ53" s="150"/>
      <c r="CS53" s="167"/>
      <c r="CU53" s="167"/>
      <c r="CW53" s="167"/>
      <c r="CY53" s="54"/>
      <c r="DA53" s="54"/>
      <c r="DC53" s="66"/>
      <c r="DE53" s="66"/>
      <c r="DG53" s="66"/>
    </row>
    <row r="54" spans="1:111" outlineLevel="1" x14ac:dyDescent="0.2">
      <c r="A54" s="30"/>
      <c r="B54" s="29" t="s">
        <v>84</v>
      </c>
      <c r="C54" s="36">
        <v>38.934285024693509</v>
      </c>
      <c r="D54" s="71">
        <v>37.105005691331236</v>
      </c>
      <c r="E54" s="68"/>
      <c r="F54" s="71">
        <v>42.373709551889483</v>
      </c>
      <c r="G54" s="68"/>
      <c r="H54" s="87">
        <v>35.605740465832795</v>
      </c>
      <c r="I54" s="84"/>
      <c r="J54" s="87">
        <v>47.476139698853444</v>
      </c>
      <c r="K54" s="84" t="s">
        <v>176</v>
      </c>
      <c r="L54" s="135"/>
      <c r="M54" s="132"/>
      <c r="N54" s="135"/>
      <c r="O54" s="132"/>
      <c r="P54" s="103">
        <v>27.881516635061772</v>
      </c>
      <c r="Q54" s="100"/>
      <c r="R54" s="103">
        <v>47.337058814051041</v>
      </c>
      <c r="S54" s="100" t="s">
        <v>180</v>
      </c>
      <c r="T54" s="103">
        <v>56.697997327716664</v>
      </c>
      <c r="U54" s="100" t="s">
        <v>180</v>
      </c>
      <c r="V54" s="119">
        <v>35.814241211131645</v>
      </c>
      <c r="W54" s="116"/>
      <c r="X54" s="119">
        <v>48.494162949182957</v>
      </c>
      <c r="Y54" s="116"/>
      <c r="Z54" s="119">
        <v>60.399601397648176</v>
      </c>
      <c r="AA54" s="116" t="s">
        <v>183</v>
      </c>
      <c r="AB54" s="155">
        <v>36.600735762860651</v>
      </c>
      <c r="AC54" s="152"/>
      <c r="AD54" s="155">
        <v>32.127746818135904</v>
      </c>
      <c r="AE54" s="152"/>
      <c r="AF54" s="155">
        <v>37.090368556548725</v>
      </c>
      <c r="AG54" s="152"/>
      <c r="AH54" s="155">
        <v>58.501640606805459</v>
      </c>
      <c r="AI54" s="152" t="s">
        <v>241</v>
      </c>
      <c r="AJ54" s="172">
        <v>40.420455943822766</v>
      </c>
      <c r="AK54" s="169"/>
      <c r="AL54" s="172">
        <v>37.396298727825574</v>
      </c>
      <c r="AM54" s="169"/>
      <c r="AN54" s="36"/>
      <c r="AO54" s="55"/>
      <c r="AP54" s="36"/>
      <c r="AQ54" s="55"/>
      <c r="AR54" s="36"/>
      <c r="AS54" s="55"/>
      <c r="AT54" s="36"/>
      <c r="AU54" s="55"/>
      <c r="AV54" s="36"/>
      <c r="AW54" s="55"/>
      <c r="AX54" s="36"/>
      <c r="AY54" s="55"/>
      <c r="AZ54" s="36"/>
      <c r="BA54" s="55"/>
      <c r="BB54" s="36"/>
      <c r="BC54" s="55"/>
      <c r="BD54" s="71">
        <v>36.255726718314151</v>
      </c>
      <c r="BE54" s="68"/>
      <c r="BF54" s="71">
        <v>38.436541863176203</v>
      </c>
      <c r="BG54" s="68"/>
      <c r="BH54" s="71">
        <v>41.848197827039989</v>
      </c>
      <c r="BI54" s="68"/>
      <c r="BJ54" s="71">
        <v>39.166639113568472</v>
      </c>
      <c r="BK54" s="68"/>
      <c r="BL54" s="87">
        <v>40.20671008603189</v>
      </c>
      <c r="BM54" s="84"/>
      <c r="BN54" s="87">
        <v>37.789571803780717</v>
      </c>
      <c r="BO54" s="84"/>
      <c r="BP54" s="103">
        <v>40.199536830566451</v>
      </c>
      <c r="BQ54" s="100"/>
      <c r="BR54" s="103">
        <v>38.495528644100254</v>
      </c>
      <c r="BS54" s="100"/>
      <c r="BT54" s="119">
        <v>38.290830343168565</v>
      </c>
      <c r="BU54" s="116"/>
      <c r="BV54" s="119">
        <v>39.696395004727371</v>
      </c>
      <c r="BW54" s="116"/>
      <c r="BX54" s="36"/>
      <c r="BY54" s="55"/>
      <c r="BZ54" s="36"/>
      <c r="CA54" s="55"/>
      <c r="CB54" s="36"/>
      <c r="CC54" s="55"/>
      <c r="CD54" s="36"/>
      <c r="CE54" s="55"/>
      <c r="CF54" s="36"/>
      <c r="CG54" s="55"/>
      <c r="CH54" s="36"/>
      <c r="CI54" s="55"/>
      <c r="CJ54" s="36"/>
      <c r="CK54" s="55"/>
      <c r="CL54" s="155">
        <v>42.719416843041081</v>
      </c>
      <c r="CM54" s="152" t="s">
        <v>246</v>
      </c>
      <c r="CN54" s="155">
        <v>32.129541817531198</v>
      </c>
      <c r="CO54" s="152"/>
      <c r="CP54" s="155">
        <v>31.26837293475656</v>
      </c>
      <c r="CQ54" s="152"/>
      <c r="CR54" s="172">
        <v>29.767980791663994</v>
      </c>
      <c r="CS54" s="169"/>
      <c r="CT54" s="172">
        <v>51.026664837872296</v>
      </c>
      <c r="CU54" s="169" t="s">
        <v>48</v>
      </c>
      <c r="CV54" s="172">
        <v>45.633110761656198</v>
      </c>
      <c r="CW54" s="169" t="s">
        <v>48</v>
      </c>
      <c r="CX54" s="36"/>
      <c r="CY54" s="55"/>
      <c r="CZ54" s="36"/>
      <c r="DA54" s="55"/>
      <c r="DB54" s="71">
        <v>26.372538235659835</v>
      </c>
      <c r="DC54" s="68"/>
      <c r="DD54" s="71">
        <v>43.08217956112351</v>
      </c>
      <c r="DE54" s="68" t="s">
        <v>206</v>
      </c>
      <c r="DF54" s="71">
        <v>48.3372706260934</v>
      </c>
      <c r="DG54" s="68" t="s">
        <v>206</v>
      </c>
    </row>
    <row r="55" spans="1:111" outlineLevel="1" x14ac:dyDescent="0.2">
      <c r="A55" s="30"/>
      <c r="B55" s="37" t="s">
        <v>85</v>
      </c>
      <c r="C55" s="38">
        <v>25.992121943144358</v>
      </c>
      <c r="D55" s="72">
        <v>26.133369801835382</v>
      </c>
      <c r="E55" s="68"/>
      <c r="F55" s="72">
        <v>25.726546674930475</v>
      </c>
      <c r="G55" s="68"/>
      <c r="H55" s="88">
        <v>25.415662373311491</v>
      </c>
      <c r="I55" s="84"/>
      <c r="J55" s="88">
        <v>27.471457365568906</v>
      </c>
      <c r="K55" s="84"/>
      <c r="L55" s="136"/>
      <c r="M55" s="132"/>
      <c r="N55" s="136"/>
      <c r="O55" s="132"/>
      <c r="P55" s="104">
        <v>20.969742617285267</v>
      </c>
      <c r="Q55" s="100"/>
      <c r="R55" s="104">
        <v>30.806651233774552</v>
      </c>
      <c r="S55" s="100"/>
      <c r="T55" s="104">
        <v>28.368559469855953</v>
      </c>
      <c r="U55" s="100"/>
      <c r="V55" s="120">
        <v>25.349743324779176</v>
      </c>
      <c r="W55" s="116"/>
      <c r="X55" s="120">
        <v>29.299830096071005</v>
      </c>
      <c r="Y55" s="116"/>
      <c r="Z55" s="120">
        <v>30.116575101576714</v>
      </c>
      <c r="AA55" s="116"/>
      <c r="AB55" s="156">
        <v>27.283241680002533</v>
      </c>
      <c r="AC55" s="152" t="s">
        <v>171</v>
      </c>
      <c r="AD55" s="156">
        <v>20.254228048030814</v>
      </c>
      <c r="AE55" s="152"/>
      <c r="AF55" s="156">
        <v>26.830446006508545</v>
      </c>
      <c r="AG55" s="152"/>
      <c r="AH55" s="156">
        <v>37.144890676172885</v>
      </c>
      <c r="AI55" s="152" t="s">
        <v>241</v>
      </c>
      <c r="AJ55" s="173">
        <v>26.951763507057514</v>
      </c>
      <c r="AK55" s="169"/>
      <c r="AL55" s="173">
        <v>24.999022457610032</v>
      </c>
      <c r="AM55" s="169"/>
      <c r="AN55" s="38"/>
      <c r="AO55" s="55"/>
      <c r="AP55" s="38"/>
      <c r="AQ55" s="55"/>
      <c r="AR55" s="38"/>
      <c r="AS55" s="55"/>
      <c r="AT55" s="38"/>
      <c r="AU55" s="55"/>
      <c r="AV55" s="38"/>
      <c r="AW55" s="55"/>
      <c r="AX55" s="38"/>
      <c r="AY55" s="55"/>
      <c r="AZ55" s="38"/>
      <c r="BA55" s="55"/>
      <c r="BB55" s="38"/>
      <c r="BC55" s="55"/>
      <c r="BD55" s="72">
        <v>28.510246868597573</v>
      </c>
      <c r="BE55" s="68"/>
      <c r="BF55" s="72">
        <v>23.900974931132172</v>
      </c>
      <c r="BG55" s="68"/>
      <c r="BH55" s="72">
        <v>26.34954998494668</v>
      </c>
      <c r="BI55" s="68"/>
      <c r="BJ55" s="72">
        <v>26.668789942151989</v>
      </c>
      <c r="BK55" s="68"/>
      <c r="BL55" s="88">
        <v>26.137511451457563</v>
      </c>
      <c r="BM55" s="84"/>
      <c r="BN55" s="88">
        <v>25.551966931409126</v>
      </c>
      <c r="BO55" s="84"/>
      <c r="BP55" s="104">
        <v>25.474866391853169</v>
      </c>
      <c r="BQ55" s="100"/>
      <c r="BR55" s="104">
        <v>26.241612459326401</v>
      </c>
      <c r="BS55" s="100"/>
      <c r="BT55" s="120">
        <v>24.651247164380248</v>
      </c>
      <c r="BU55" s="116"/>
      <c r="BV55" s="120">
        <v>27.315223357488513</v>
      </c>
      <c r="BW55" s="116"/>
      <c r="BX55" s="38"/>
      <c r="BY55" s="55"/>
      <c r="BZ55" s="38"/>
      <c r="CA55" s="55"/>
      <c r="CB55" s="38"/>
      <c r="CC55" s="55"/>
      <c r="CD55" s="38"/>
      <c r="CE55" s="55"/>
      <c r="CF55" s="38"/>
      <c r="CG55" s="55"/>
      <c r="CH55" s="38"/>
      <c r="CI55" s="55"/>
      <c r="CJ55" s="38"/>
      <c r="CK55" s="55"/>
      <c r="CL55" s="156">
        <v>28.666445465668406</v>
      </c>
      <c r="CM55" s="152" t="s">
        <v>203</v>
      </c>
      <c r="CN55" s="156">
        <v>22.088899399904541</v>
      </c>
      <c r="CO55" s="152"/>
      <c r="CP55" s="156">
        <v>21.185186744362603</v>
      </c>
      <c r="CQ55" s="152"/>
      <c r="CR55" s="173">
        <v>20.767554124527784</v>
      </c>
      <c r="CS55" s="169"/>
      <c r="CT55" s="173">
        <v>29.741530396086379</v>
      </c>
      <c r="CU55" s="169" t="s">
        <v>48</v>
      </c>
      <c r="CV55" s="173">
        <v>33.639466815962585</v>
      </c>
      <c r="CW55" s="169" t="s">
        <v>48</v>
      </c>
      <c r="CX55" s="38"/>
      <c r="CY55" s="55"/>
      <c r="CZ55" s="38"/>
      <c r="DA55" s="55"/>
      <c r="DB55" s="72">
        <v>19.273163779663125</v>
      </c>
      <c r="DC55" s="68"/>
      <c r="DD55" s="72">
        <v>29.12535791958452</v>
      </c>
      <c r="DE55" s="68" t="s">
        <v>206</v>
      </c>
      <c r="DF55" s="72">
        <v>28.868668331579034</v>
      </c>
      <c r="DG55" s="68" t="s">
        <v>206</v>
      </c>
    </row>
    <row r="56" spans="1:111" outlineLevel="1" x14ac:dyDescent="0.2">
      <c r="A56" s="30"/>
      <c r="B56" s="37" t="s">
        <v>86</v>
      </c>
      <c r="C56" s="38">
        <v>12.942163081549147</v>
      </c>
      <c r="D56" s="72">
        <v>10.971635889495857</v>
      </c>
      <c r="E56" s="68"/>
      <c r="F56" s="72">
        <v>16.647162876959012</v>
      </c>
      <c r="G56" s="68" t="s">
        <v>174</v>
      </c>
      <c r="H56" s="88">
        <v>10.190078092521304</v>
      </c>
      <c r="I56" s="84"/>
      <c r="J56" s="88">
        <v>20.004682333284538</v>
      </c>
      <c r="K56" s="84" t="s">
        <v>176</v>
      </c>
      <c r="L56" s="136"/>
      <c r="M56" s="132"/>
      <c r="N56" s="136"/>
      <c r="O56" s="132"/>
      <c r="P56" s="104">
        <v>6.9117740177765032</v>
      </c>
      <c r="Q56" s="100"/>
      <c r="R56" s="104">
        <v>16.530407580276488</v>
      </c>
      <c r="S56" s="100" t="s">
        <v>180</v>
      </c>
      <c r="T56" s="104">
        <v>28.329437857860711</v>
      </c>
      <c r="U56" s="100" t="s">
        <v>254</v>
      </c>
      <c r="V56" s="120">
        <v>10.464497886352467</v>
      </c>
      <c r="W56" s="116"/>
      <c r="X56" s="120">
        <v>19.194332853111952</v>
      </c>
      <c r="Y56" s="116"/>
      <c r="Z56" s="120">
        <v>30.283026296071462</v>
      </c>
      <c r="AA56" s="116" t="s">
        <v>183</v>
      </c>
      <c r="AB56" s="156">
        <v>9.3174940828581185</v>
      </c>
      <c r="AC56" s="152"/>
      <c r="AD56" s="156">
        <v>11.873518770105093</v>
      </c>
      <c r="AE56" s="152"/>
      <c r="AF56" s="156">
        <v>10.25992255004018</v>
      </c>
      <c r="AG56" s="152"/>
      <c r="AH56" s="156">
        <v>21.356749930632578</v>
      </c>
      <c r="AI56" s="152" t="s">
        <v>241</v>
      </c>
      <c r="AJ56" s="173">
        <v>13.468692436765256</v>
      </c>
      <c r="AK56" s="169"/>
      <c r="AL56" s="173">
        <v>12.397276270215539</v>
      </c>
      <c r="AM56" s="169"/>
      <c r="AN56" s="38"/>
      <c r="AO56" s="55"/>
      <c r="AP56" s="38"/>
      <c r="AQ56" s="55"/>
      <c r="AR56" s="38"/>
      <c r="AS56" s="55"/>
      <c r="AT56" s="38"/>
      <c r="AU56" s="55"/>
      <c r="AV56" s="38"/>
      <c r="AW56" s="55"/>
      <c r="AX56" s="38"/>
      <c r="AY56" s="55"/>
      <c r="AZ56" s="38"/>
      <c r="BA56" s="55"/>
      <c r="BB56" s="38"/>
      <c r="BC56" s="55"/>
      <c r="BD56" s="72">
        <v>7.7454798497165758</v>
      </c>
      <c r="BE56" s="68"/>
      <c r="BF56" s="72">
        <v>14.535566932044029</v>
      </c>
      <c r="BG56" s="68" t="s">
        <v>191</v>
      </c>
      <c r="BH56" s="72">
        <v>15.498647842093309</v>
      </c>
      <c r="BI56" s="68" t="s">
        <v>191</v>
      </c>
      <c r="BJ56" s="72">
        <v>12.497849171416483</v>
      </c>
      <c r="BK56" s="68"/>
      <c r="BL56" s="88">
        <v>14.069198634574329</v>
      </c>
      <c r="BM56" s="84"/>
      <c r="BN56" s="88">
        <v>12.237604872371588</v>
      </c>
      <c r="BO56" s="84"/>
      <c r="BP56" s="104">
        <v>14.724670438713279</v>
      </c>
      <c r="BQ56" s="100"/>
      <c r="BR56" s="104">
        <v>12.253916184773855</v>
      </c>
      <c r="BS56" s="100"/>
      <c r="BT56" s="120">
        <v>13.639583178788317</v>
      </c>
      <c r="BU56" s="116"/>
      <c r="BV56" s="120">
        <v>12.381171647238855</v>
      </c>
      <c r="BW56" s="116"/>
      <c r="BX56" s="38"/>
      <c r="BY56" s="55"/>
      <c r="BZ56" s="38"/>
      <c r="CA56" s="55"/>
      <c r="CB56" s="38"/>
      <c r="CC56" s="55"/>
      <c r="CD56" s="38"/>
      <c r="CE56" s="55"/>
      <c r="CF56" s="38"/>
      <c r="CG56" s="55"/>
      <c r="CH56" s="38"/>
      <c r="CI56" s="55"/>
      <c r="CJ56" s="38"/>
      <c r="CK56" s="55"/>
      <c r="CL56" s="156">
        <v>14.052971377372675</v>
      </c>
      <c r="CM56" s="152"/>
      <c r="CN56" s="156">
        <v>10.040642417626655</v>
      </c>
      <c r="CO56" s="152"/>
      <c r="CP56" s="156">
        <v>10.083186190393954</v>
      </c>
      <c r="CQ56" s="152"/>
      <c r="CR56" s="173">
        <v>9.0004266671362121</v>
      </c>
      <c r="CS56" s="169"/>
      <c r="CT56" s="173">
        <v>21.285134441785921</v>
      </c>
      <c r="CU56" s="169" t="s">
        <v>255</v>
      </c>
      <c r="CV56" s="173">
        <v>11.993643945693609</v>
      </c>
      <c r="CW56" s="169"/>
      <c r="CX56" s="38"/>
      <c r="CY56" s="55"/>
      <c r="CZ56" s="38"/>
      <c r="DA56" s="55"/>
      <c r="DB56" s="72">
        <v>7.0993744559967098</v>
      </c>
      <c r="DC56" s="68"/>
      <c r="DD56" s="72">
        <v>13.956821641538992</v>
      </c>
      <c r="DE56" s="68" t="s">
        <v>206</v>
      </c>
      <c r="DF56" s="72">
        <v>19.468602294514366</v>
      </c>
      <c r="DG56" s="68" t="s">
        <v>249</v>
      </c>
    </row>
    <row r="57" spans="1:111" outlineLevel="1" x14ac:dyDescent="0.2">
      <c r="A57" s="30"/>
      <c r="B57" s="29"/>
      <c r="E57" s="66"/>
      <c r="G57" s="66"/>
      <c r="I57" s="82"/>
      <c r="K57" s="82"/>
      <c r="M57" s="130"/>
      <c r="O57" s="130"/>
      <c r="Q57" s="98"/>
      <c r="S57" s="98"/>
      <c r="U57" s="98"/>
      <c r="W57" s="114"/>
      <c r="Y57" s="114"/>
      <c r="AA57" s="114"/>
      <c r="AC57" s="150"/>
      <c r="AE57" s="150"/>
      <c r="AG57" s="150"/>
      <c r="AI57" s="150"/>
      <c r="AK57" s="167"/>
      <c r="AM57" s="167"/>
      <c r="AO57" s="54"/>
      <c r="AQ57" s="54"/>
      <c r="AS57" s="54"/>
      <c r="AU57" s="54"/>
      <c r="AW57" s="54"/>
      <c r="AY57" s="54"/>
      <c r="BA57" s="54"/>
      <c r="BC57" s="54"/>
      <c r="BE57" s="66"/>
      <c r="BG57" s="66"/>
      <c r="BI57" s="66"/>
      <c r="BK57" s="66"/>
      <c r="BM57" s="82"/>
      <c r="BO57" s="82"/>
      <c r="BQ57" s="98"/>
      <c r="BS57" s="98"/>
      <c r="BU57" s="114"/>
      <c r="BW57" s="114"/>
      <c r="BY57" s="54"/>
      <c r="CA57" s="54"/>
      <c r="CC57" s="54"/>
      <c r="CE57" s="54"/>
      <c r="CG57" s="54"/>
      <c r="CI57" s="54"/>
      <c r="CK57" s="54"/>
      <c r="CM57" s="150"/>
      <c r="CO57" s="150"/>
      <c r="CQ57" s="150"/>
      <c r="CS57" s="167"/>
      <c r="CU57" s="167"/>
      <c r="CW57" s="167"/>
      <c r="CY57" s="54"/>
      <c r="DA57" s="54"/>
      <c r="DC57" s="66"/>
      <c r="DE57" s="66"/>
      <c r="DG57" s="66"/>
    </row>
    <row r="58" spans="1:111" x14ac:dyDescent="0.2">
      <c r="A58" s="30"/>
      <c r="B58" s="30"/>
      <c r="E58" s="66"/>
      <c r="G58" s="66"/>
      <c r="I58" s="82"/>
      <c r="K58" s="82"/>
      <c r="M58" s="130"/>
      <c r="O58" s="130"/>
      <c r="Q58" s="98"/>
      <c r="S58" s="98"/>
      <c r="U58" s="98"/>
      <c r="W58" s="114"/>
      <c r="Y58" s="114"/>
      <c r="AA58" s="114"/>
      <c r="AC58" s="150"/>
      <c r="AE58" s="150"/>
      <c r="AG58" s="150"/>
      <c r="AI58" s="150"/>
      <c r="AK58" s="167"/>
      <c r="AM58" s="167"/>
      <c r="AO58" s="54"/>
      <c r="AQ58" s="54"/>
      <c r="AS58" s="54"/>
      <c r="AU58" s="54"/>
      <c r="AW58" s="54"/>
      <c r="AY58" s="54"/>
      <c r="BA58" s="54"/>
      <c r="BC58" s="54"/>
      <c r="BE58" s="66"/>
      <c r="BG58" s="66"/>
      <c r="BI58" s="66"/>
      <c r="BK58" s="66"/>
      <c r="BM58" s="82"/>
      <c r="BO58" s="82"/>
      <c r="BQ58" s="98"/>
      <c r="BS58" s="98"/>
      <c r="BU58" s="114"/>
      <c r="BW58" s="114"/>
      <c r="BY58" s="54"/>
      <c r="CA58" s="54"/>
      <c r="CC58" s="54"/>
      <c r="CE58" s="54"/>
      <c r="CG58" s="54"/>
      <c r="CI58" s="54"/>
      <c r="CK58" s="54"/>
      <c r="CM58" s="150"/>
      <c r="CO58" s="150"/>
      <c r="CQ58" s="150"/>
      <c r="CS58" s="167"/>
      <c r="CU58" s="167"/>
      <c r="CW58" s="167"/>
      <c r="CY58" s="54"/>
      <c r="DA58" s="54"/>
      <c r="DC58" s="66"/>
      <c r="DE58" s="66"/>
      <c r="DG58" s="66"/>
    </row>
    <row r="59" spans="1:111" x14ac:dyDescent="0.2">
      <c r="A59" s="28" t="s">
        <v>89</v>
      </c>
      <c r="B59" s="29" t="s">
        <v>6</v>
      </c>
      <c r="E59" s="66"/>
      <c r="G59" s="66"/>
      <c r="I59" s="82"/>
      <c r="K59" s="82"/>
      <c r="M59" s="130"/>
      <c r="O59" s="130"/>
      <c r="Q59" s="98"/>
      <c r="S59" s="98"/>
      <c r="U59" s="98"/>
      <c r="W59" s="114"/>
      <c r="Y59" s="114"/>
      <c r="AA59" s="114"/>
      <c r="AC59" s="150"/>
      <c r="AE59" s="150"/>
      <c r="AG59" s="150"/>
      <c r="AI59" s="150"/>
      <c r="AK59" s="167"/>
      <c r="AM59" s="167"/>
      <c r="AO59" s="54"/>
      <c r="AQ59" s="54"/>
      <c r="AS59" s="54"/>
      <c r="AU59" s="54"/>
      <c r="AW59" s="54"/>
      <c r="AY59" s="54"/>
      <c r="BA59" s="54"/>
      <c r="BC59" s="54"/>
      <c r="BE59" s="66"/>
      <c r="BG59" s="66"/>
      <c r="BI59" s="66"/>
      <c r="BK59" s="66"/>
      <c r="BM59" s="82"/>
      <c r="BO59" s="82"/>
      <c r="BQ59" s="98"/>
      <c r="BS59" s="98"/>
      <c r="BU59" s="114"/>
      <c r="BW59" s="114"/>
      <c r="BY59" s="54"/>
      <c r="CA59" s="54"/>
      <c r="CC59" s="54"/>
      <c r="CE59" s="54"/>
      <c r="CG59" s="54"/>
      <c r="CI59" s="54"/>
      <c r="CK59" s="54"/>
      <c r="CM59" s="150"/>
      <c r="CO59" s="150"/>
      <c r="CQ59" s="150"/>
      <c r="CS59" s="167"/>
      <c r="CU59" s="167"/>
      <c r="CW59" s="167"/>
      <c r="CY59" s="54"/>
      <c r="DA59" s="54"/>
      <c r="DC59" s="66"/>
      <c r="DE59" s="66"/>
      <c r="DG59" s="66"/>
    </row>
    <row r="60" spans="1:111" outlineLevel="1" x14ac:dyDescent="0.2">
      <c r="A60" s="30"/>
      <c r="B60" s="32" t="s">
        <v>55</v>
      </c>
      <c r="C60" s="31">
        <f>1883.05224610559+89.9477538944136</f>
        <v>1973.0000000000036</v>
      </c>
      <c r="D60" s="67">
        <f>1186.40754506923+54.5924549307656</f>
        <v>1240.9999999999957</v>
      </c>
      <c r="E60" s="68"/>
      <c r="F60" s="67">
        <f>697.229271339924+34.7707286600755</f>
        <v>731.99999999999955</v>
      </c>
      <c r="G60" s="68"/>
      <c r="H60" s="83">
        <f>1294.51472390475+61.4852760952508</f>
        <v>1356.0000000000009</v>
      </c>
      <c r="I60" s="84"/>
      <c r="J60" s="83">
        <f>588.872678023413+28.1273219765872</f>
        <v>617.00000000000011</v>
      </c>
      <c r="K60" s="84"/>
      <c r="L60" s="131"/>
      <c r="M60" s="132"/>
      <c r="N60" s="131"/>
      <c r="O60" s="132"/>
      <c r="P60" s="99">
        <f>197.775455801689+12.2245441983108</f>
        <v>209.9999999999998</v>
      </c>
      <c r="Q60" s="100"/>
      <c r="R60" s="99">
        <f>183.624369897672+9.37563010232844</f>
        <v>193.00000000000045</v>
      </c>
      <c r="S60" s="100"/>
      <c r="T60" s="99">
        <f>202.167219603481+6.83278039651879</f>
        <v>208.99999999999977</v>
      </c>
      <c r="U60" s="100"/>
      <c r="V60" s="115">
        <f>142.903095748811+7.09690425118887</f>
        <v>149.99999999999989</v>
      </c>
      <c r="W60" s="116"/>
      <c r="X60" s="115">
        <f>159.312800786456+8.68719921354355</f>
        <v>167.99999999999955</v>
      </c>
      <c r="Y60" s="116"/>
      <c r="Z60" s="115">
        <f>187.399553476067+6.60044652393256</f>
        <v>193.99999999999957</v>
      </c>
      <c r="AA60" s="116"/>
      <c r="AB60" s="151">
        <f>418.260207692397+16.7397923076035</f>
        <v>435.00000000000051</v>
      </c>
      <c r="AC60" s="152"/>
      <c r="AD60" s="151">
        <f>738.006659532827+36.9933404671731</f>
        <v>775.00000000000011</v>
      </c>
      <c r="AE60" s="152"/>
      <c r="AF60" s="151">
        <f>311.253904538341+10.7460954616589</f>
        <v>321.99999999999989</v>
      </c>
      <c r="AG60" s="152"/>
      <c r="AH60" s="151">
        <f>431.026863681208+9.97313631879211</f>
        <v>441.00000000000011</v>
      </c>
      <c r="AI60" s="152"/>
      <c r="AJ60" s="168">
        <f>923.333460709361+44.6665392906394</f>
        <v>968.00000000000045</v>
      </c>
      <c r="AK60" s="169"/>
      <c r="AL60" s="168">
        <f>959.799270076854+45.2007299231459</f>
        <v>1004.9999999999999</v>
      </c>
      <c r="AM60" s="169"/>
      <c r="AN60" s="31"/>
      <c r="AO60" s="55"/>
      <c r="AP60" s="31"/>
      <c r="AQ60" s="55"/>
      <c r="AR60" s="31"/>
      <c r="AS60" s="55"/>
      <c r="AT60" s="31"/>
      <c r="AU60" s="55"/>
      <c r="AV60" s="31"/>
      <c r="AW60" s="55"/>
      <c r="AX60" s="31"/>
      <c r="AY60" s="55"/>
      <c r="AZ60" s="31"/>
      <c r="BA60" s="55"/>
      <c r="BB60" s="31"/>
      <c r="BC60" s="55"/>
      <c r="BD60" s="67">
        <f>379.857824097321+11.1421759026792</f>
        <v>391.00000000000017</v>
      </c>
      <c r="BE60" s="68"/>
      <c r="BF60" s="67">
        <f>745.998424961336+22.0015750386635</f>
        <v>767.99999999999955</v>
      </c>
      <c r="BG60" s="68"/>
      <c r="BH60" s="67">
        <f>409.189427060892+14.8105729391077</f>
        <v>423.99999999999972</v>
      </c>
      <c r="BI60" s="68"/>
      <c r="BJ60" s="67">
        <f>363.70066322202+26.2993367779799</f>
        <v>389.99999999999989</v>
      </c>
      <c r="BK60" s="68"/>
      <c r="BL60" s="83">
        <f>896.282615300541+41.7173846994588</f>
        <v>937.99999999999977</v>
      </c>
      <c r="BM60" s="84"/>
      <c r="BN60" s="83">
        <f>918.786185024919+45.2138149750814</f>
        <v>964.00000000000034</v>
      </c>
      <c r="BO60" s="84"/>
      <c r="BP60" s="99">
        <f>566.54488221061+21.4551177893895</f>
        <v>587.99999999999955</v>
      </c>
      <c r="BQ60" s="100"/>
      <c r="BR60" s="99">
        <f>1309.85022189589+68.1497781041148</f>
        <v>1378.0000000000048</v>
      </c>
      <c r="BS60" s="100"/>
      <c r="BT60" s="115">
        <f>801.597409190903+42.4025908090973</f>
        <v>844.00000000000034</v>
      </c>
      <c r="BU60" s="116"/>
      <c r="BV60" s="115">
        <f>1073.89067127574+47.109328724262</f>
        <v>1121.000000000002</v>
      </c>
      <c r="BW60" s="116"/>
      <c r="BX60" s="31"/>
      <c r="BY60" s="55"/>
      <c r="BZ60" s="31"/>
      <c r="CA60" s="55"/>
      <c r="CB60" s="31"/>
      <c r="CC60" s="55"/>
      <c r="CD60" s="31"/>
      <c r="CE60" s="55"/>
      <c r="CF60" s="31"/>
      <c r="CG60" s="55"/>
      <c r="CH60" s="31"/>
      <c r="CI60" s="55"/>
      <c r="CJ60" s="31"/>
      <c r="CK60" s="55"/>
      <c r="CL60" s="151">
        <f>1355.82509014005+57.1749098599505</f>
        <v>1413.0000000000005</v>
      </c>
      <c r="CM60" s="152"/>
      <c r="CN60" s="151">
        <f>292.487931587065+18.5120684129348</f>
        <v>310.99999999999983</v>
      </c>
      <c r="CO60" s="152"/>
      <c r="CP60" s="151">
        <f>266.807630662101+20.192369337899</f>
        <v>287</v>
      </c>
      <c r="CQ60" s="152"/>
      <c r="CR60" s="168">
        <f>771.339198902703+38.6608010972968</f>
        <v>809.99999999999977</v>
      </c>
      <c r="CS60" s="169"/>
      <c r="CT60" s="168">
        <f>498.353180029268+21.6468199707316</f>
        <v>519.99999999999955</v>
      </c>
      <c r="CU60" s="169"/>
      <c r="CV60" s="168">
        <f>425.648257709813+20.3517422901865</f>
        <v>445.99999999999949</v>
      </c>
      <c r="CW60" s="169"/>
      <c r="CX60" s="31"/>
      <c r="CY60" s="55"/>
      <c r="CZ60" s="31"/>
      <c r="DA60" s="55"/>
      <c r="DB60" s="67">
        <f>562.90176025743+31.0982397425698</f>
        <v>593.99999999999989</v>
      </c>
      <c r="DC60" s="68"/>
      <c r="DD60" s="67">
        <f>923.018785397321+40.9812146026794</f>
        <v>964.00000000000045</v>
      </c>
      <c r="DE60" s="68"/>
      <c r="DF60" s="67">
        <f>397.90956414565+17.0904358543499</f>
        <v>414.99999999999989</v>
      </c>
      <c r="DG60" s="68"/>
    </row>
    <row r="61" spans="1:111" s="35" customFormat="1" outlineLevel="1" x14ac:dyDescent="0.2">
      <c r="A61" s="30"/>
      <c r="B61" s="33"/>
      <c r="C61" s="34" t="s">
        <v>167</v>
      </c>
      <c r="D61" s="69" t="s">
        <v>167</v>
      </c>
      <c r="E61" s="70"/>
      <c r="F61" s="69" t="s">
        <v>167</v>
      </c>
      <c r="G61" s="70"/>
      <c r="H61" s="85" t="s">
        <v>167</v>
      </c>
      <c r="I61" s="86"/>
      <c r="J61" s="85" t="s">
        <v>167</v>
      </c>
      <c r="K61" s="86"/>
      <c r="L61" s="133"/>
      <c r="M61" s="134"/>
      <c r="N61" s="133"/>
      <c r="O61" s="134"/>
      <c r="P61" s="101" t="s">
        <v>167</v>
      </c>
      <c r="Q61" s="102"/>
      <c r="R61" s="101" t="s">
        <v>167</v>
      </c>
      <c r="S61" s="102"/>
      <c r="T61" s="101" t="s">
        <v>167</v>
      </c>
      <c r="U61" s="102"/>
      <c r="V61" s="117" t="s">
        <v>167</v>
      </c>
      <c r="W61" s="118"/>
      <c r="X61" s="117" t="s">
        <v>167</v>
      </c>
      <c r="Y61" s="118"/>
      <c r="Z61" s="117" t="s">
        <v>167</v>
      </c>
      <c r="AA61" s="118"/>
      <c r="AB61" s="153" t="s">
        <v>167</v>
      </c>
      <c r="AC61" s="154"/>
      <c r="AD61" s="153" t="s">
        <v>167</v>
      </c>
      <c r="AE61" s="154"/>
      <c r="AF61" s="153" t="s">
        <v>167</v>
      </c>
      <c r="AG61" s="154"/>
      <c r="AH61" s="153" t="s">
        <v>167</v>
      </c>
      <c r="AI61" s="154"/>
      <c r="AJ61" s="170" t="s">
        <v>167</v>
      </c>
      <c r="AK61" s="171"/>
      <c r="AL61" s="170" t="s">
        <v>167</v>
      </c>
      <c r="AM61" s="171"/>
      <c r="AN61" s="34"/>
      <c r="AO61" s="56"/>
      <c r="AP61" s="34"/>
      <c r="AQ61" s="56"/>
      <c r="AR61" s="34"/>
      <c r="AS61" s="56"/>
      <c r="AT61" s="34"/>
      <c r="AU61" s="56"/>
      <c r="AV61" s="34"/>
      <c r="AW61" s="56"/>
      <c r="AX61" s="34"/>
      <c r="AY61" s="56"/>
      <c r="AZ61" s="34"/>
      <c r="BA61" s="56"/>
      <c r="BB61" s="34"/>
      <c r="BC61" s="56"/>
      <c r="BD61" s="69" t="s">
        <v>167</v>
      </c>
      <c r="BE61" s="70"/>
      <c r="BF61" s="69" t="s">
        <v>167</v>
      </c>
      <c r="BG61" s="70"/>
      <c r="BH61" s="69" t="s">
        <v>167</v>
      </c>
      <c r="BI61" s="70"/>
      <c r="BJ61" s="69" t="s">
        <v>167</v>
      </c>
      <c r="BK61" s="70"/>
      <c r="BL61" s="85" t="s">
        <v>167</v>
      </c>
      <c r="BM61" s="86"/>
      <c r="BN61" s="85" t="s">
        <v>167</v>
      </c>
      <c r="BO61" s="86"/>
      <c r="BP61" s="101" t="s">
        <v>167</v>
      </c>
      <c r="BQ61" s="102"/>
      <c r="BR61" s="101" t="s">
        <v>167</v>
      </c>
      <c r="BS61" s="102"/>
      <c r="BT61" s="117" t="s">
        <v>167</v>
      </c>
      <c r="BU61" s="118"/>
      <c r="BV61" s="117" t="s">
        <v>167</v>
      </c>
      <c r="BW61" s="118"/>
      <c r="BX61" s="34"/>
      <c r="BY61" s="56"/>
      <c r="BZ61" s="34"/>
      <c r="CA61" s="56"/>
      <c r="CB61" s="34"/>
      <c r="CC61" s="56"/>
      <c r="CD61" s="34"/>
      <c r="CE61" s="56"/>
      <c r="CF61" s="34"/>
      <c r="CG61" s="56"/>
      <c r="CH61" s="34"/>
      <c r="CI61" s="56"/>
      <c r="CJ61" s="34"/>
      <c r="CK61" s="56"/>
      <c r="CL61" s="153" t="s">
        <v>167</v>
      </c>
      <c r="CM61" s="154"/>
      <c r="CN61" s="153" t="s">
        <v>167</v>
      </c>
      <c r="CO61" s="154"/>
      <c r="CP61" s="153" t="s">
        <v>167</v>
      </c>
      <c r="CQ61" s="154"/>
      <c r="CR61" s="170" t="s">
        <v>167</v>
      </c>
      <c r="CS61" s="171"/>
      <c r="CT61" s="170" t="s">
        <v>167</v>
      </c>
      <c r="CU61" s="171"/>
      <c r="CV61" s="170" t="s">
        <v>167</v>
      </c>
      <c r="CW61" s="171"/>
      <c r="CX61" s="34"/>
      <c r="CY61" s="56"/>
      <c r="CZ61" s="34"/>
      <c r="DA61" s="56"/>
      <c r="DB61" s="69" t="s">
        <v>167</v>
      </c>
      <c r="DC61" s="70"/>
      <c r="DD61" s="69" t="s">
        <v>167</v>
      </c>
      <c r="DE61" s="70"/>
      <c r="DF61" s="69" t="s">
        <v>167</v>
      </c>
      <c r="DG61" s="70"/>
    </row>
    <row r="62" spans="1:111" outlineLevel="1" x14ac:dyDescent="0.2">
      <c r="A62" s="30"/>
      <c r="B62" s="30"/>
      <c r="E62" s="66"/>
      <c r="G62" s="66"/>
      <c r="I62" s="82"/>
      <c r="K62" s="82"/>
      <c r="M62" s="130"/>
      <c r="O62" s="130"/>
      <c r="Q62" s="98"/>
      <c r="S62" s="98"/>
      <c r="U62" s="98"/>
      <c r="W62" s="114"/>
      <c r="Y62" s="114"/>
      <c r="AA62" s="114"/>
      <c r="AC62" s="150"/>
      <c r="AE62" s="150"/>
      <c r="AG62" s="150"/>
      <c r="AI62" s="150"/>
      <c r="AK62" s="167"/>
      <c r="AM62" s="167"/>
      <c r="AO62" s="54"/>
      <c r="AQ62" s="54"/>
      <c r="AS62" s="54"/>
      <c r="AU62" s="54"/>
      <c r="AW62" s="54"/>
      <c r="AY62" s="54"/>
      <c r="BA62" s="54"/>
      <c r="BC62" s="54"/>
      <c r="BE62" s="66"/>
      <c r="BG62" s="66"/>
      <c r="BI62" s="66"/>
      <c r="BK62" s="66"/>
      <c r="BM62" s="82"/>
      <c r="BO62" s="82"/>
      <c r="BQ62" s="98"/>
      <c r="BS62" s="98"/>
      <c r="BU62" s="114"/>
      <c r="BW62" s="114"/>
      <c r="BY62" s="54"/>
      <c r="CA62" s="54"/>
      <c r="CC62" s="54"/>
      <c r="CE62" s="54"/>
      <c r="CG62" s="54"/>
      <c r="CI62" s="54"/>
      <c r="CK62" s="54"/>
      <c r="CM62" s="150"/>
      <c r="CO62" s="150"/>
      <c r="CQ62" s="150"/>
      <c r="CS62" s="167"/>
      <c r="CU62" s="167"/>
      <c r="CW62" s="167"/>
      <c r="CY62" s="54"/>
      <c r="DA62" s="54"/>
      <c r="DC62" s="66"/>
      <c r="DE62" s="66"/>
      <c r="DG62" s="66"/>
    </row>
    <row r="63" spans="1:111" outlineLevel="1" x14ac:dyDescent="0.2">
      <c r="A63" s="30"/>
      <c r="B63" s="29" t="s">
        <v>81</v>
      </c>
      <c r="C63" s="36">
        <v>60.688731681596316</v>
      </c>
      <c r="D63" s="71">
        <v>62.124494471562571</v>
      </c>
      <c r="E63" s="68"/>
      <c r="F63" s="71">
        <v>58.332780055098318</v>
      </c>
      <c r="G63" s="68"/>
      <c r="H63" s="87">
        <v>64.021130067338845</v>
      </c>
      <c r="I63" s="84" t="s">
        <v>177</v>
      </c>
      <c r="J63" s="87">
        <v>53.569873423471655</v>
      </c>
      <c r="K63" s="84"/>
      <c r="L63" s="135"/>
      <c r="M63" s="132"/>
      <c r="N63" s="135"/>
      <c r="O63" s="132"/>
      <c r="P63" s="103">
        <v>76.235263633956308</v>
      </c>
      <c r="Q63" s="100" t="s">
        <v>250</v>
      </c>
      <c r="R63" s="103">
        <v>59.642749644514097</v>
      </c>
      <c r="S63" s="100" t="s">
        <v>182</v>
      </c>
      <c r="T63" s="103">
        <v>40.78111203210468</v>
      </c>
      <c r="U63" s="100"/>
      <c r="V63" s="119">
        <v>70.120523372191613</v>
      </c>
      <c r="W63" s="116" t="s">
        <v>251</v>
      </c>
      <c r="X63" s="119">
        <v>57.806658411471354</v>
      </c>
      <c r="Y63" s="116" t="s">
        <v>185</v>
      </c>
      <c r="Z63" s="119">
        <v>38.276669874309896</v>
      </c>
      <c r="AA63" s="116"/>
      <c r="AB63" s="155">
        <v>64.013070176105032</v>
      </c>
      <c r="AC63" s="152" t="s">
        <v>173</v>
      </c>
      <c r="AD63" s="155">
        <v>67.609583823416585</v>
      </c>
      <c r="AE63" s="152" t="s">
        <v>244</v>
      </c>
      <c r="AF63" s="155">
        <v>61.145387400243116</v>
      </c>
      <c r="AG63" s="152" t="s">
        <v>173</v>
      </c>
      <c r="AH63" s="155">
        <v>41.643235309535044</v>
      </c>
      <c r="AI63" s="152"/>
      <c r="AJ63" s="172">
        <v>58.36100825300899</v>
      </c>
      <c r="AK63" s="169"/>
      <c r="AL63" s="172">
        <v>62.957491612370745</v>
      </c>
      <c r="AM63" s="169" t="s">
        <v>186</v>
      </c>
      <c r="AN63" s="36"/>
      <c r="AO63" s="55"/>
      <c r="AP63" s="36"/>
      <c r="AQ63" s="55"/>
      <c r="AR63" s="36"/>
      <c r="AS63" s="55"/>
      <c r="AT63" s="36"/>
      <c r="AU63" s="55"/>
      <c r="AV63" s="36"/>
      <c r="AW63" s="55"/>
      <c r="AX63" s="36"/>
      <c r="AY63" s="55"/>
      <c r="AZ63" s="36"/>
      <c r="BA63" s="55"/>
      <c r="BB63" s="36"/>
      <c r="BC63" s="55"/>
      <c r="BD63" s="71">
        <v>59.646114372382769</v>
      </c>
      <c r="BE63" s="68"/>
      <c r="BF63" s="71">
        <v>61.777924881020304</v>
      </c>
      <c r="BG63" s="68"/>
      <c r="BH63" s="71">
        <v>58.508499734308693</v>
      </c>
      <c r="BI63" s="68"/>
      <c r="BJ63" s="71">
        <v>62.08197761356746</v>
      </c>
      <c r="BK63" s="68"/>
      <c r="BL63" s="87">
        <v>60.3293669279943</v>
      </c>
      <c r="BM63" s="84"/>
      <c r="BN63" s="87">
        <v>61.311858530228108</v>
      </c>
      <c r="BO63" s="84"/>
      <c r="BP63" s="103">
        <v>58.758623555454363</v>
      </c>
      <c r="BQ63" s="100"/>
      <c r="BR63" s="103">
        <v>61.692282404623349</v>
      </c>
      <c r="BS63" s="100"/>
      <c r="BT63" s="119">
        <v>60.746435445565695</v>
      </c>
      <c r="BU63" s="116"/>
      <c r="BV63" s="119">
        <v>60.822508109368258</v>
      </c>
      <c r="BW63" s="116"/>
      <c r="BX63" s="36"/>
      <c r="BY63" s="55"/>
      <c r="BZ63" s="36"/>
      <c r="CA63" s="55"/>
      <c r="CB63" s="36"/>
      <c r="CC63" s="55"/>
      <c r="CD63" s="36"/>
      <c r="CE63" s="55"/>
      <c r="CF63" s="36"/>
      <c r="CG63" s="55"/>
      <c r="CH63" s="36"/>
      <c r="CI63" s="55"/>
      <c r="CJ63" s="36"/>
      <c r="CK63" s="55"/>
      <c r="CL63" s="155">
        <v>56.269124974480796</v>
      </c>
      <c r="CM63" s="152"/>
      <c r="CN63" s="155">
        <v>72.104125139362822</v>
      </c>
      <c r="CO63" s="152" t="s">
        <v>201</v>
      </c>
      <c r="CP63" s="155">
        <v>69.709635540356544</v>
      </c>
      <c r="CQ63" s="152" t="s">
        <v>201</v>
      </c>
      <c r="CR63" s="172">
        <v>70.392084021229024</v>
      </c>
      <c r="CS63" s="169" t="s">
        <v>243</v>
      </c>
      <c r="CT63" s="172">
        <v>48.154293254660608</v>
      </c>
      <c r="CU63" s="169"/>
      <c r="CV63" s="172">
        <v>57.672701757822018</v>
      </c>
      <c r="CW63" s="169" t="s">
        <v>204</v>
      </c>
      <c r="CX63" s="36"/>
      <c r="CY63" s="55"/>
      <c r="CZ63" s="36"/>
      <c r="DA63" s="55"/>
      <c r="DB63" s="71">
        <v>70.369564197146886</v>
      </c>
      <c r="DC63" s="68" t="s">
        <v>245</v>
      </c>
      <c r="DD63" s="71">
        <v>59.21744908963791</v>
      </c>
      <c r="DE63" s="68" t="s">
        <v>208</v>
      </c>
      <c r="DF63" s="71">
        <v>49.951055998351158</v>
      </c>
      <c r="DG63" s="68"/>
    </row>
    <row r="64" spans="1:111" outlineLevel="1" x14ac:dyDescent="0.2">
      <c r="A64" s="30"/>
      <c r="B64" s="37" t="s">
        <v>82</v>
      </c>
      <c r="C64" s="38">
        <v>27.786517998368151</v>
      </c>
      <c r="D64" s="72">
        <v>29.179329940512549</v>
      </c>
      <c r="E64" s="68"/>
      <c r="F64" s="72">
        <v>25.501044671274862</v>
      </c>
      <c r="G64" s="68"/>
      <c r="H64" s="88">
        <v>30.84835513142993</v>
      </c>
      <c r="I64" s="84" t="s">
        <v>177</v>
      </c>
      <c r="J64" s="88">
        <v>21.24564801926066</v>
      </c>
      <c r="K64" s="84"/>
      <c r="L64" s="136"/>
      <c r="M64" s="132"/>
      <c r="N64" s="136"/>
      <c r="O64" s="132"/>
      <c r="P64" s="104">
        <v>42.103652141560232</v>
      </c>
      <c r="Q64" s="100" t="s">
        <v>250</v>
      </c>
      <c r="R64" s="104">
        <v>21.973751128732602</v>
      </c>
      <c r="S64" s="100"/>
      <c r="T64" s="104">
        <v>16.168557279681274</v>
      </c>
      <c r="U64" s="100"/>
      <c r="V64" s="120">
        <v>35.169749296127179</v>
      </c>
      <c r="W64" s="116" t="s">
        <v>251</v>
      </c>
      <c r="X64" s="120">
        <v>20.730745291952729</v>
      </c>
      <c r="Y64" s="116"/>
      <c r="Z64" s="120">
        <v>14.433355888968114</v>
      </c>
      <c r="AA64" s="116"/>
      <c r="AB64" s="156">
        <v>24.550786888608634</v>
      </c>
      <c r="AC64" s="152" t="s">
        <v>173</v>
      </c>
      <c r="AD64" s="156">
        <v>33.723527197883683</v>
      </c>
      <c r="AE64" s="152" t="s">
        <v>256</v>
      </c>
      <c r="AF64" s="156">
        <v>27.777436446276624</v>
      </c>
      <c r="AG64" s="152" t="s">
        <v>173</v>
      </c>
      <c r="AH64" s="156">
        <v>18.486816585416996</v>
      </c>
      <c r="AI64" s="152"/>
      <c r="AJ64" s="173">
        <v>27.371487692171609</v>
      </c>
      <c r="AK64" s="169"/>
      <c r="AL64" s="173">
        <v>28.191035183353144</v>
      </c>
      <c r="AM64" s="169"/>
      <c r="AN64" s="38"/>
      <c r="AO64" s="55"/>
      <c r="AP64" s="38"/>
      <c r="AQ64" s="55"/>
      <c r="AR64" s="38"/>
      <c r="AS64" s="55"/>
      <c r="AT64" s="38"/>
      <c r="AU64" s="55"/>
      <c r="AV64" s="38"/>
      <c r="AW64" s="55"/>
      <c r="AX64" s="38"/>
      <c r="AY64" s="55"/>
      <c r="AZ64" s="38"/>
      <c r="BA64" s="55"/>
      <c r="BB64" s="38"/>
      <c r="BC64" s="55"/>
      <c r="BD64" s="72">
        <v>26.210250828730167</v>
      </c>
      <c r="BE64" s="68"/>
      <c r="BF64" s="72">
        <v>28.541413131293154</v>
      </c>
      <c r="BG64" s="68"/>
      <c r="BH64" s="72">
        <v>24.644716040001263</v>
      </c>
      <c r="BI64" s="68"/>
      <c r="BJ64" s="72">
        <v>31.182211081054341</v>
      </c>
      <c r="BK64" s="68" t="s">
        <v>193</v>
      </c>
      <c r="BL64" s="88">
        <v>26.995928057731465</v>
      </c>
      <c r="BM64" s="84"/>
      <c r="BN64" s="88">
        <v>28.845747737424265</v>
      </c>
      <c r="BO64" s="84"/>
      <c r="BP64" s="104">
        <v>26.440398884619011</v>
      </c>
      <c r="BQ64" s="100"/>
      <c r="BR64" s="104">
        <v>28.433294901261998</v>
      </c>
      <c r="BS64" s="100"/>
      <c r="BT64" s="120">
        <v>30.19570541289001</v>
      </c>
      <c r="BU64" s="116" t="s">
        <v>200</v>
      </c>
      <c r="BV64" s="120">
        <v>26.052781412897019</v>
      </c>
      <c r="BW64" s="116"/>
      <c r="BX64" s="38"/>
      <c r="BY64" s="55"/>
      <c r="BZ64" s="38"/>
      <c r="CA64" s="55"/>
      <c r="CB64" s="38"/>
      <c r="CC64" s="55"/>
      <c r="CD64" s="38"/>
      <c r="CE64" s="55"/>
      <c r="CF64" s="38"/>
      <c r="CG64" s="55"/>
      <c r="CH64" s="38"/>
      <c r="CI64" s="55"/>
      <c r="CJ64" s="38"/>
      <c r="CK64" s="55"/>
      <c r="CL64" s="156">
        <v>23.895121305486683</v>
      </c>
      <c r="CM64" s="152"/>
      <c r="CN64" s="156">
        <v>39.179195243082539</v>
      </c>
      <c r="CO64" s="152" t="s">
        <v>201</v>
      </c>
      <c r="CP64" s="156">
        <v>36.367313543974475</v>
      </c>
      <c r="CQ64" s="152" t="s">
        <v>201</v>
      </c>
      <c r="CR64" s="173">
        <v>38.10774407499369</v>
      </c>
      <c r="CS64" s="169" t="s">
        <v>243</v>
      </c>
      <c r="CT64" s="173">
        <v>20.876098233752362</v>
      </c>
      <c r="CU64" s="169"/>
      <c r="CV64" s="173">
        <v>19.844757170938717</v>
      </c>
      <c r="CW64" s="169"/>
      <c r="CX64" s="38"/>
      <c r="CY64" s="55"/>
      <c r="CZ64" s="38"/>
      <c r="DA64" s="55"/>
      <c r="DB64" s="72">
        <v>38.211199678647141</v>
      </c>
      <c r="DC64" s="68" t="s">
        <v>245</v>
      </c>
      <c r="DD64" s="72">
        <v>25.422696335210812</v>
      </c>
      <c r="DE64" s="68" t="s">
        <v>208</v>
      </c>
      <c r="DF64" s="72">
        <v>17.998517115468925</v>
      </c>
      <c r="DG64" s="68"/>
    </row>
    <row r="65" spans="1:111" outlineLevel="1" x14ac:dyDescent="0.2">
      <c r="A65" s="30"/>
      <c r="B65" s="37" t="s">
        <v>83</v>
      </c>
      <c r="C65" s="38">
        <v>32.902213683228162</v>
      </c>
      <c r="D65" s="72">
        <v>32.945164531050018</v>
      </c>
      <c r="E65" s="68"/>
      <c r="F65" s="72">
        <v>32.831735383823457</v>
      </c>
      <c r="G65" s="68"/>
      <c r="H65" s="88">
        <v>33.172774935908912</v>
      </c>
      <c r="I65" s="84"/>
      <c r="J65" s="88">
        <v>32.324225404210999</v>
      </c>
      <c r="K65" s="84"/>
      <c r="L65" s="136"/>
      <c r="M65" s="132"/>
      <c r="N65" s="136"/>
      <c r="O65" s="132"/>
      <c r="P65" s="104">
        <v>34.131611492396075</v>
      </c>
      <c r="Q65" s="100" t="s">
        <v>182</v>
      </c>
      <c r="R65" s="104">
        <v>37.668998515781496</v>
      </c>
      <c r="S65" s="100" t="s">
        <v>182</v>
      </c>
      <c r="T65" s="104">
        <v>24.612554752423407</v>
      </c>
      <c r="U65" s="100"/>
      <c r="V65" s="120">
        <v>34.950774076064441</v>
      </c>
      <c r="W65" s="116" t="s">
        <v>185</v>
      </c>
      <c r="X65" s="120">
        <v>37.075913119518624</v>
      </c>
      <c r="Y65" s="116" t="s">
        <v>185</v>
      </c>
      <c r="Z65" s="120">
        <v>23.84331398534178</v>
      </c>
      <c r="AA65" s="116"/>
      <c r="AB65" s="156">
        <v>39.46228328749639</v>
      </c>
      <c r="AC65" s="152" t="s">
        <v>173</v>
      </c>
      <c r="AD65" s="156">
        <v>33.886056625532895</v>
      </c>
      <c r="AE65" s="152" t="s">
        <v>173</v>
      </c>
      <c r="AF65" s="156">
        <v>33.367950953966492</v>
      </c>
      <c r="AG65" s="152" t="s">
        <v>173</v>
      </c>
      <c r="AH65" s="156">
        <v>23.156418724118048</v>
      </c>
      <c r="AI65" s="152"/>
      <c r="AJ65" s="173">
        <v>30.989520560837381</v>
      </c>
      <c r="AK65" s="169"/>
      <c r="AL65" s="173">
        <v>34.766456429017602</v>
      </c>
      <c r="AM65" s="169"/>
      <c r="AN65" s="38"/>
      <c r="AO65" s="55"/>
      <c r="AP65" s="38"/>
      <c r="AQ65" s="55"/>
      <c r="AR65" s="38"/>
      <c r="AS65" s="55"/>
      <c r="AT65" s="38"/>
      <c r="AU65" s="55"/>
      <c r="AV65" s="38"/>
      <c r="AW65" s="55"/>
      <c r="AX65" s="38"/>
      <c r="AY65" s="55"/>
      <c r="AZ65" s="38"/>
      <c r="BA65" s="55"/>
      <c r="BB65" s="38"/>
      <c r="BC65" s="55"/>
      <c r="BD65" s="72">
        <v>33.435863543652601</v>
      </c>
      <c r="BE65" s="68"/>
      <c r="BF65" s="72">
        <v>33.23651174972715</v>
      </c>
      <c r="BG65" s="68"/>
      <c r="BH65" s="72">
        <v>33.863783694307429</v>
      </c>
      <c r="BI65" s="68"/>
      <c r="BJ65" s="72">
        <v>30.899766532513123</v>
      </c>
      <c r="BK65" s="68"/>
      <c r="BL65" s="88">
        <v>33.333438870262832</v>
      </c>
      <c r="BM65" s="84"/>
      <c r="BN65" s="88">
        <v>32.466110792803839</v>
      </c>
      <c r="BO65" s="84"/>
      <c r="BP65" s="104">
        <v>32.318224670835349</v>
      </c>
      <c r="BQ65" s="100"/>
      <c r="BR65" s="104">
        <v>33.258987503361354</v>
      </c>
      <c r="BS65" s="100"/>
      <c r="BT65" s="120">
        <v>30.550730032675681</v>
      </c>
      <c r="BU65" s="116"/>
      <c r="BV65" s="120">
        <v>34.769726696471238</v>
      </c>
      <c r="BW65" s="116"/>
      <c r="BX65" s="38"/>
      <c r="BY65" s="55"/>
      <c r="BZ65" s="38"/>
      <c r="CA65" s="55"/>
      <c r="CB65" s="38"/>
      <c r="CC65" s="55"/>
      <c r="CD65" s="38"/>
      <c r="CE65" s="55"/>
      <c r="CF65" s="38"/>
      <c r="CG65" s="55"/>
      <c r="CH65" s="38"/>
      <c r="CI65" s="55"/>
      <c r="CJ65" s="38"/>
      <c r="CK65" s="55"/>
      <c r="CL65" s="156">
        <v>32.374003668994114</v>
      </c>
      <c r="CM65" s="152"/>
      <c r="CN65" s="156">
        <v>32.924929896280283</v>
      </c>
      <c r="CO65" s="152"/>
      <c r="CP65" s="156">
        <v>33.342321996382061</v>
      </c>
      <c r="CQ65" s="152"/>
      <c r="CR65" s="173">
        <v>32.284339946235328</v>
      </c>
      <c r="CS65" s="169"/>
      <c r="CT65" s="173">
        <v>27.278195020908246</v>
      </c>
      <c r="CU65" s="169"/>
      <c r="CV65" s="173">
        <v>37.827944586883298</v>
      </c>
      <c r="CW65" s="169" t="s">
        <v>204</v>
      </c>
      <c r="CX65" s="38"/>
      <c r="CY65" s="55"/>
      <c r="CZ65" s="38"/>
      <c r="DA65" s="55"/>
      <c r="DB65" s="72">
        <v>32.158364518499745</v>
      </c>
      <c r="DC65" s="68"/>
      <c r="DD65" s="72">
        <v>33.794752754427094</v>
      </c>
      <c r="DE65" s="68"/>
      <c r="DF65" s="72">
        <v>31.952538882882234</v>
      </c>
      <c r="DG65" s="68"/>
    </row>
    <row r="66" spans="1:111" outlineLevel="1" x14ac:dyDescent="0.2">
      <c r="A66" s="30"/>
      <c r="B66" s="29"/>
      <c r="E66" s="66"/>
      <c r="G66" s="66"/>
      <c r="I66" s="82"/>
      <c r="K66" s="82"/>
      <c r="M66" s="130"/>
      <c r="O66" s="130"/>
      <c r="Q66" s="98"/>
      <c r="S66" s="98"/>
      <c r="U66" s="98"/>
      <c r="W66" s="114"/>
      <c r="Y66" s="114"/>
      <c r="AA66" s="114"/>
      <c r="AC66" s="150"/>
      <c r="AE66" s="150"/>
      <c r="AG66" s="150"/>
      <c r="AI66" s="150"/>
      <c r="AK66" s="167"/>
      <c r="AM66" s="167"/>
      <c r="AO66" s="54"/>
      <c r="AQ66" s="54"/>
      <c r="AS66" s="54"/>
      <c r="AU66" s="54"/>
      <c r="AW66" s="54"/>
      <c r="AY66" s="54"/>
      <c r="BA66" s="54"/>
      <c r="BC66" s="54"/>
      <c r="BE66" s="66"/>
      <c r="BG66" s="66"/>
      <c r="BI66" s="66"/>
      <c r="BK66" s="66"/>
      <c r="BM66" s="82"/>
      <c r="BO66" s="82"/>
      <c r="BQ66" s="98"/>
      <c r="BS66" s="98"/>
      <c r="BU66" s="114"/>
      <c r="BW66" s="114"/>
      <c r="BY66" s="54"/>
      <c r="CA66" s="54"/>
      <c r="CC66" s="54"/>
      <c r="CE66" s="54"/>
      <c r="CG66" s="54"/>
      <c r="CI66" s="54"/>
      <c r="CK66" s="54"/>
      <c r="CM66" s="150"/>
      <c r="CO66" s="150"/>
      <c r="CQ66" s="150"/>
      <c r="CS66" s="167"/>
      <c r="CU66" s="167"/>
      <c r="CW66" s="167"/>
      <c r="CY66" s="54"/>
      <c r="DA66" s="54"/>
      <c r="DC66" s="66"/>
      <c r="DE66" s="66"/>
      <c r="DG66" s="66"/>
    </row>
    <row r="67" spans="1:111" outlineLevel="1" x14ac:dyDescent="0.2">
      <c r="A67" s="30"/>
      <c r="B67" s="29" t="s">
        <v>84</v>
      </c>
      <c r="C67" s="36">
        <v>39.311268318403684</v>
      </c>
      <c r="D67" s="71">
        <v>37.875505528437429</v>
      </c>
      <c r="E67" s="68"/>
      <c r="F67" s="71">
        <v>41.667219944901689</v>
      </c>
      <c r="G67" s="68"/>
      <c r="H67" s="87">
        <v>35.978869932661162</v>
      </c>
      <c r="I67" s="84"/>
      <c r="J67" s="87">
        <v>46.430126576528345</v>
      </c>
      <c r="K67" s="84" t="s">
        <v>176</v>
      </c>
      <c r="L67" s="135"/>
      <c r="M67" s="132"/>
      <c r="N67" s="135"/>
      <c r="O67" s="132"/>
      <c r="P67" s="103">
        <v>23.764736366043692</v>
      </c>
      <c r="Q67" s="100"/>
      <c r="R67" s="103">
        <v>40.357250355485895</v>
      </c>
      <c r="S67" s="100" t="s">
        <v>180</v>
      </c>
      <c r="T67" s="103">
        <v>59.218887967895327</v>
      </c>
      <c r="U67" s="100" t="s">
        <v>254</v>
      </c>
      <c r="V67" s="119">
        <v>29.87947662780838</v>
      </c>
      <c r="W67" s="116"/>
      <c r="X67" s="119">
        <v>42.193341588528646</v>
      </c>
      <c r="Y67" s="116" t="s">
        <v>183</v>
      </c>
      <c r="Z67" s="119">
        <v>61.723330125690104</v>
      </c>
      <c r="AA67" s="116" t="s">
        <v>257</v>
      </c>
      <c r="AB67" s="155">
        <v>35.986929823894975</v>
      </c>
      <c r="AC67" s="152"/>
      <c r="AD67" s="155">
        <v>32.390416176583415</v>
      </c>
      <c r="AE67" s="152"/>
      <c r="AF67" s="155">
        <v>38.854612599756884</v>
      </c>
      <c r="AG67" s="152" t="s">
        <v>171</v>
      </c>
      <c r="AH67" s="155">
        <v>58.356764690464956</v>
      </c>
      <c r="AI67" s="152" t="s">
        <v>241</v>
      </c>
      <c r="AJ67" s="172">
        <v>41.638991746991003</v>
      </c>
      <c r="AK67" s="169" t="s">
        <v>187</v>
      </c>
      <c r="AL67" s="172">
        <v>37.042508387629262</v>
      </c>
      <c r="AM67" s="169"/>
      <c r="AN67" s="36"/>
      <c r="AO67" s="55"/>
      <c r="AP67" s="36"/>
      <c r="AQ67" s="55"/>
      <c r="AR67" s="36"/>
      <c r="AS67" s="55"/>
      <c r="AT67" s="36"/>
      <c r="AU67" s="55"/>
      <c r="AV67" s="36"/>
      <c r="AW67" s="55"/>
      <c r="AX67" s="36"/>
      <c r="AY67" s="55"/>
      <c r="AZ67" s="36"/>
      <c r="BA67" s="55"/>
      <c r="BB67" s="36"/>
      <c r="BC67" s="55"/>
      <c r="BD67" s="71">
        <v>40.353885627617224</v>
      </c>
      <c r="BE67" s="68"/>
      <c r="BF67" s="71">
        <v>38.222075118979689</v>
      </c>
      <c r="BG67" s="68"/>
      <c r="BH67" s="71">
        <v>41.491500265691307</v>
      </c>
      <c r="BI67" s="68"/>
      <c r="BJ67" s="71">
        <v>37.918022386432533</v>
      </c>
      <c r="BK67" s="68"/>
      <c r="BL67" s="87">
        <v>39.6706330720057</v>
      </c>
      <c r="BM67" s="84"/>
      <c r="BN67" s="87">
        <v>38.688141469771885</v>
      </c>
      <c r="BO67" s="84"/>
      <c r="BP67" s="103">
        <v>41.241376444545637</v>
      </c>
      <c r="BQ67" s="100"/>
      <c r="BR67" s="103">
        <v>38.307717595376644</v>
      </c>
      <c r="BS67" s="100"/>
      <c r="BT67" s="119">
        <v>39.253564554434298</v>
      </c>
      <c r="BU67" s="116"/>
      <c r="BV67" s="119">
        <v>39.177491890631742</v>
      </c>
      <c r="BW67" s="116"/>
      <c r="BX67" s="36"/>
      <c r="BY67" s="55"/>
      <c r="BZ67" s="36"/>
      <c r="CA67" s="55"/>
      <c r="CB67" s="36"/>
      <c r="CC67" s="55"/>
      <c r="CD67" s="36"/>
      <c r="CE67" s="55"/>
      <c r="CF67" s="36"/>
      <c r="CG67" s="55"/>
      <c r="CH67" s="36"/>
      <c r="CI67" s="55"/>
      <c r="CJ67" s="36"/>
      <c r="CK67" s="55"/>
      <c r="CL67" s="155">
        <v>43.730875025519204</v>
      </c>
      <c r="CM67" s="152" t="s">
        <v>246</v>
      </c>
      <c r="CN67" s="155">
        <v>27.895874860637182</v>
      </c>
      <c r="CO67" s="152"/>
      <c r="CP67" s="155">
        <v>30.290364459643456</v>
      </c>
      <c r="CQ67" s="152"/>
      <c r="CR67" s="172">
        <v>29.607915978770972</v>
      </c>
      <c r="CS67" s="169"/>
      <c r="CT67" s="172">
        <v>51.845706745339392</v>
      </c>
      <c r="CU67" s="169" t="s">
        <v>255</v>
      </c>
      <c r="CV67" s="172">
        <v>42.327298242177982</v>
      </c>
      <c r="CW67" s="169" t="s">
        <v>48</v>
      </c>
      <c r="CX67" s="36"/>
      <c r="CY67" s="55"/>
      <c r="CZ67" s="36"/>
      <c r="DA67" s="55"/>
      <c r="DB67" s="71">
        <v>29.630435802853118</v>
      </c>
      <c r="DC67" s="68"/>
      <c r="DD67" s="71">
        <v>40.78255091036209</v>
      </c>
      <c r="DE67" s="68" t="s">
        <v>206</v>
      </c>
      <c r="DF67" s="71">
        <v>50.048944001648849</v>
      </c>
      <c r="DG67" s="68" t="s">
        <v>249</v>
      </c>
    </row>
    <row r="68" spans="1:111" outlineLevel="1" x14ac:dyDescent="0.2">
      <c r="A68" s="30"/>
      <c r="B68" s="37" t="s">
        <v>85</v>
      </c>
      <c r="C68" s="38">
        <v>22</v>
      </c>
      <c r="D68" s="72">
        <v>22.867123103714199</v>
      </c>
      <c r="E68" s="68"/>
      <c r="F68" s="72">
        <v>22.171607509611331</v>
      </c>
      <c r="G68" s="68"/>
      <c r="H68" s="88">
        <v>21.948417732117509</v>
      </c>
      <c r="I68" s="84"/>
      <c r="J68" s="88">
        <v>24.003741162193819</v>
      </c>
      <c r="K68" s="84"/>
      <c r="L68" s="136"/>
      <c r="M68" s="132"/>
      <c r="N68" s="136"/>
      <c r="O68" s="132"/>
      <c r="P68" s="104">
        <v>16.145580727429074</v>
      </c>
      <c r="Q68" s="100"/>
      <c r="R68" s="104">
        <v>22.186264232409933</v>
      </c>
      <c r="S68" s="100"/>
      <c r="T68" s="104">
        <v>32.057918258278804</v>
      </c>
      <c r="U68" s="100" t="s">
        <v>254</v>
      </c>
      <c r="V68" s="120">
        <v>20.308813953379428</v>
      </c>
      <c r="W68" s="116"/>
      <c r="X68" s="120">
        <v>22.406435009954386</v>
      </c>
      <c r="Y68" s="116"/>
      <c r="Z68" s="120">
        <v>32.522490287488267</v>
      </c>
      <c r="AA68" s="116" t="s">
        <v>257</v>
      </c>
      <c r="AB68" s="156">
        <v>19.057167656845913</v>
      </c>
      <c r="AC68" s="152"/>
      <c r="AD68" s="156">
        <v>18.794174699803243</v>
      </c>
      <c r="AE68" s="152"/>
      <c r="AF68" s="156">
        <v>23.293760900586651</v>
      </c>
      <c r="AG68" s="152"/>
      <c r="AH68" s="156">
        <v>34.235597840331288</v>
      </c>
      <c r="AI68" s="152" t="s">
        <v>241</v>
      </c>
      <c r="AJ68" s="173">
        <v>22.70268123229619</v>
      </c>
      <c r="AK68" s="169"/>
      <c r="AL68" s="173">
        <v>22.507345719461703</v>
      </c>
      <c r="AM68" s="169"/>
      <c r="AN68" s="38"/>
      <c r="AO68" s="55"/>
      <c r="AP68" s="38"/>
      <c r="AQ68" s="55"/>
      <c r="AR68" s="38"/>
      <c r="AS68" s="55"/>
      <c r="AT68" s="38"/>
      <c r="AU68" s="55"/>
      <c r="AV68" s="38"/>
      <c r="AW68" s="55"/>
      <c r="AX68" s="38"/>
      <c r="AY68" s="55"/>
      <c r="AZ68" s="38"/>
      <c r="BA68" s="55"/>
      <c r="BB68" s="38"/>
      <c r="BC68" s="55"/>
      <c r="BD68" s="72">
        <v>26.59000027002741</v>
      </c>
      <c r="BE68" s="68" t="s">
        <v>192</v>
      </c>
      <c r="BF68" s="72">
        <v>20.789931902521744</v>
      </c>
      <c r="BG68" s="68"/>
      <c r="BH68" s="72">
        <v>22.229210309050035</v>
      </c>
      <c r="BI68" s="68"/>
      <c r="BJ68" s="72">
        <v>22.440403426565588</v>
      </c>
      <c r="BK68" s="68"/>
      <c r="BL68" s="88">
        <v>21.845816878215441</v>
      </c>
      <c r="BM68" s="84"/>
      <c r="BN68" s="88">
        <v>23.183650392611678</v>
      </c>
      <c r="BO68" s="84"/>
      <c r="BP68" s="104">
        <v>23.870070754492385</v>
      </c>
      <c r="BQ68" s="100"/>
      <c r="BR68" s="104">
        <v>22.048193387434793</v>
      </c>
      <c r="BS68" s="100"/>
      <c r="BT68" s="120">
        <v>24.808413916359097</v>
      </c>
      <c r="BU68" s="116" t="s">
        <v>200</v>
      </c>
      <c r="BV68" s="120">
        <v>20.940043512857649</v>
      </c>
      <c r="BW68" s="116"/>
      <c r="BX68" s="38"/>
      <c r="BY68" s="55"/>
      <c r="BZ68" s="38"/>
      <c r="CA68" s="55"/>
      <c r="CB68" s="38"/>
      <c r="CC68" s="55"/>
      <c r="CD68" s="38"/>
      <c r="CE68" s="55"/>
      <c r="CF68" s="38"/>
      <c r="CG68" s="55"/>
      <c r="CH68" s="38"/>
      <c r="CI68" s="55"/>
      <c r="CJ68" s="38"/>
      <c r="CK68" s="55"/>
      <c r="CL68" s="156">
        <v>25.624432355536062</v>
      </c>
      <c r="CM68" s="152" t="s">
        <v>246</v>
      </c>
      <c r="CN68" s="156">
        <v>15.74005878576979</v>
      </c>
      <c r="CO68" s="152"/>
      <c r="CP68" s="156">
        <v>15.591857497004629</v>
      </c>
      <c r="CQ68" s="152"/>
      <c r="CR68" s="173">
        <v>19.113517722425218</v>
      </c>
      <c r="CS68" s="169"/>
      <c r="CT68" s="173">
        <v>29.303469976941006</v>
      </c>
      <c r="CU68" s="169" t="s">
        <v>48</v>
      </c>
      <c r="CV68" s="173">
        <v>24.691730413861546</v>
      </c>
      <c r="CW68" s="169" t="s">
        <v>48</v>
      </c>
      <c r="CX68" s="38"/>
      <c r="CY68" s="55"/>
      <c r="CZ68" s="38"/>
      <c r="DA68" s="55"/>
      <c r="DB68" s="72">
        <v>16.279910046768077</v>
      </c>
      <c r="DC68" s="68"/>
      <c r="DD68" s="72">
        <v>24.809233635000872</v>
      </c>
      <c r="DE68" s="68" t="s">
        <v>206</v>
      </c>
      <c r="DF68" s="72">
        <v>26.784791547998779</v>
      </c>
      <c r="DG68" s="68" t="s">
        <v>206</v>
      </c>
    </row>
    <row r="69" spans="1:111" outlineLevel="1" x14ac:dyDescent="0.2">
      <c r="A69" s="30"/>
      <c r="B69" s="37" t="s">
        <v>86</v>
      </c>
      <c r="C69" s="38">
        <v>16.707507720451552</v>
      </c>
      <c r="D69" s="72">
        <v>15.008382424723228</v>
      </c>
      <c r="E69" s="68"/>
      <c r="F69" s="72">
        <v>19.495612435290354</v>
      </c>
      <c r="G69" s="68" t="s">
        <v>174</v>
      </c>
      <c r="H69" s="88">
        <v>14.030452200543653</v>
      </c>
      <c r="I69" s="84"/>
      <c r="J69" s="88">
        <v>22.426385414334526</v>
      </c>
      <c r="K69" s="84" t="s">
        <v>176</v>
      </c>
      <c r="L69" s="136"/>
      <c r="M69" s="132"/>
      <c r="N69" s="136"/>
      <c r="O69" s="132"/>
      <c r="P69" s="104">
        <v>7.6191556386146173</v>
      </c>
      <c r="Q69" s="100"/>
      <c r="R69" s="104">
        <v>18.170986123075963</v>
      </c>
      <c r="S69" s="100" t="s">
        <v>180</v>
      </c>
      <c r="T69" s="104">
        <v>27.160969709616527</v>
      </c>
      <c r="U69" s="100" t="s">
        <v>254</v>
      </c>
      <c r="V69" s="120">
        <v>9.570662674428954</v>
      </c>
      <c r="W69" s="116"/>
      <c r="X69" s="120">
        <v>19.786906578574261</v>
      </c>
      <c r="Y69" s="116" t="s">
        <v>183</v>
      </c>
      <c r="Z69" s="120">
        <v>29.200839838201837</v>
      </c>
      <c r="AA69" s="116" t="s">
        <v>257</v>
      </c>
      <c r="AB69" s="156">
        <v>16.929762167049063</v>
      </c>
      <c r="AC69" s="152"/>
      <c r="AD69" s="156">
        <v>13.596241476780172</v>
      </c>
      <c r="AE69" s="152"/>
      <c r="AF69" s="156">
        <v>15.560851699170234</v>
      </c>
      <c r="AG69" s="152"/>
      <c r="AH69" s="156">
        <v>24.121166850133669</v>
      </c>
      <c r="AI69" s="152" t="s">
        <v>241</v>
      </c>
      <c r="AJ69" s="173">
        <v>18.936310514694814</v>
      </c>
      <c r="AK69" s="169" t="s">
        <v>187</v>
      </c>
      <c r="AL69" s="173">
        <v>14.535162668167562</v>
      </c>
      <c r="AM69" s="169"/>
      <c r="AN69" s="38"/>
      <c r="AO69" s="55"/>
      <c r="AP69" s="38"/>
      <c r="AQ69" s="55"/>
      <c r="AR69" s="38"/>
      <c r="AS69" s="55"/>
      <c r="AT69" s="38"/>
      <c r="AU69" s="55"/>
      <c r="AV69" s="38"/>
      <c r="AW69" s="55"/>
      <c r="AX69" s="38"/>
      <c r="AY69" s="55"/>
      <c r="AZ69" s="38"/>
      <c r="BA69" s="55"/>
      <c r="BB69" s="38"/>
      <c r="BC69" s="55"/>
      <c r="BD69" s="72">
        <v>13.763885357589816</v>
      </c>
      <c r="BE69" s="68"/>
      <c r="BF69" s="72">
        <v>17.432143216457945</v>
      </c>
      <c r="BG69" s="68"/>
      <c r="BH69" s="72">
        <v>19.262289956641272</v>
      </c>
      <c r="BI69" s="68" t="s">
        <v>191</v>
      </c>
      <c r="BJ69" s="72">
        <v>15.477618959866943</v>
      </c>
      <c r="BK69" s="68"/>
      <c r="BL69" s="88">
        <v>17.824816193790259</v>
      </c>
      <c r="BM69" s="84"/>
      <c r="BN69" s="88">
        <v>15.504491077160205</v>
      </c>
      <c r="BO69" s="84"/>
      <c r="BP69" s="104">
        <v>17.371305690053248</v>
      </c>
      <c r="BQ69" s="100"/>
      <c r="BR69" s="104">
        <v>16.259524207941848</v>
      </c>
      <c r="BS69" s="100"/>
      <c r="BT69" s="120">
        <v>14.445150638075201</v>
      </c>
      <c r="BU69" s="116"/>
      <c r="BV69" s="120">
        <v>18.237448377774097</v>
      </c>
      <c r="BW69" s="116" t="s">
        <v>199</v>
      </c>
      <c r="BX69" s="38"/>
      <c r="BY69" s="55"/>
      <c r="BZ69" s="38"/>
      <c r="CA69" s="55"/>
      <c r="CB69" s="38"/>
      <c r="CC69" s="55"/>
      <c r="CD69" s="38"/>
      <c r="CE69" s="55"/>
      <c r="CF69" s="38"/>
      <c r="CG69" s="55"/>
      <c r="CH69" s="38"/>
      <c r="CI69" s="55"/>
      <c r="CJ69" s="38"/>
      <c r="CK69" s="55"/>
      <c r="CL69" s="156">
        <v>18.106442669983139</v>
      </c>
      <c r="CM69" s="152" t="s">
        <v>202</v>
      </c>
      <c r="CN69" s="156">
        <v>12.155816074867394</v>
      </c>
      <c r="CO69" s="152"/>
      <c r="CP69" s="156">
        <v>14.698506962638826</v>
      </c>
      <c r="CQ69" s="152"/>
      <c r="CR69" s="173">
        <v>10.494398256345756</v>
      </c>
      <c r="CS69" s="169"/>
      <c r="CT69" s="173">
        <v>22.542236768398389</v>
      </c>
      <c r="CU69" s="169" t="s">
        <v>48</v>
      </c>
      <c r="CV69" s="173">
        <v>17.635567828316432</v>
      </c>
      <c r="CW69" s="169" t="s">
        <v>48</v>
      </c>
      <c r="CX69" s="38"/>
      <c r="CY69" s="55"/>
      <c r="CZ69" s="38"/>
      <c r="DA69" s="55"/>
      <c r="DB69" s="72">
        <v>13.350525756085039</v>
      </c>
      <c r="DC69" s="68"/>
      <c r="DD69" s="72">
        <v>15.973317275361214</v>
      </c>
      <c r="DE69" s="68"/>
      <c r="DF69" s="72">
        <v>23.26415245365007</v>
      </c>
      <c r="DG69" s="68" t="s">
        <v>249</v>
      </c>
    </row>
    <row r="70" spans="1:111" outlineLevel="1" x14ac:dyDescent="0.2">
      <c r="A70" s="30"/>
      <c r="B70" s="29"/>
      <c r="E70" s="66"/>
      <c r="G70" s="66"/>
      <c r="I70" s="82"/>
      <c r="K70" s="82"/>
      <c r="M70" s="130"/>
      <c r="O70" s="130"/>
      <c r="Q70" s="98"/>
      <c r="S70" s="98"/>
      <c r="U70" s="98"/>
      <c r="W70" s="114"/>
      <c r="Y70" s="114"/>
      <c r="AA70" s="114"/>
      <c r="AC70" s="150"/>
      <c r="AE70" s="150"/>
      <c r="AG70" s="150"/>
      <c r="AI70" s="150"/>
      <c r="AK70" s="167"/>
      <c r="AM70" s="167"/>
      <c r="AO70" s="54"/>
      <c r="AQ70" s="54"/>
      <c r="AS70" s="54"/>
      <c r="AU70" s="54"/>
      <c r="AW70" s="54"/>
      <c r="AY70" s="54"/>
      <c r="BA70" s="54"/>
      <c r="BC70" s="54"/>
      <c r="BE70" s="66"/>
      <c r="BG70" s="66"/>
      <c r="BI70" s="66"/>
      <c r="BK70" s="66"/>
      <c r="BM70" s="82"/>
      <c r="BO70" s="82"/>
      <c r="BQ70" s="98"/>
      <c r="BS70" s="98"/>
      <c r="BU70" s="114"/>
      <c r="BW70" s="114"/>
      <c r="BY70" s="54"/>
      <c r="CA70" s="54"/>
      <c r="CC70" s="54"/>
      <c r="CE70" s="54"/>
      <c r="CG70" s="54"/>
      <c r="CI70" s="54"/>
      <c r="CK70" s="54"/>
      <c r="CM70" s="150"/>
      <c r="CO70" s="150"/>
      <c r="CQ70" s="150"/>
      <c r="CS70" s="167"/>
      <c r="CU70" s="167"/>
      <c r="CW70" s="167"/>
      <c r="CY70" s="54"/>
      <c r="DA70" s="54"/>
      <c r="DC70" s="66"/>
      <c r="DE70" s="66"/>
      <c r="DG70" s="66"/>
    </row>
    <row r="71" spans="1:111" x14ac:dyDescent="0.2">
      <c r="A71" s="30"/>
      <c r="B71" s="30"/>
      <c r="E71" s="66"/>
      <c r="G71" s="66"/>
      <c r="I71" s="82"/>
      <c r="K71" s="82"/>
      <c r="M71" s="130"/>
      <c r="O71" s="130"/>
      <c r="Q71" s="98"/>
      <c r="S71" s="98"/>
      <c r="U71" s="98"/>
      <c r="W71" s="114"/>
      <c r="Y71" s="114"/>
      <c r="AA71" s="114"/>
      <c r="AC71" s="150"/>
      <c r="AE71" s="150"/>
      <c r="AG71" s="150"/>
      <c r="AI71" s="150"/>
      <c r="AK71" s="167"/>
      <c r="AM71" s="167"/>
      <c r="AO71" s="54"/>
      <c r="AQ71" s="54"/>
      <c r="AS71" s="54"/>
      <c r="AU71" s="54"/>
      <c r="AW71" s="54"/>
      <c r="AY71" s="54"/>
      <c r="BA71" s="54"/>
      <c r="BC71" s="54"/>
      <c r="BE71" s="66"/>
      <c r="BG71" s="66"/>
      <c r="BI71" s="66"/>
      <c r="BK71" s="66"/>
      <c r="BM71" s="82"/>
      <c r="BO71" s="82"/>
      <c r="BQ71" s="98"/>
      <c r="BS71" s="98"/>
      <c r="BU71" s="114"/>
      <c r="BW71" s="114"/>
      <c r="BY71" s="54"/>
      <c r="CA71" s="54"/>
      <c r="CC71" s="54"/>
      <c r="CE71" s="54"/>
      <c r="CG71" s="54"/>
      <c r="CI71" s="54"/>
      <c r="CK71" s="54"/>
      <c r="CM71" s="150"/>
      <c r="CO71" s="150"/>
      <c r="CQ71" s="150"/>
      <c r="CS71" s="167"/>
      <c r="CU71" s="167"/>
      <c r="CW71" s="167"/>
      <c r="CY71" s="54"/>
      <c r="DA71" s="54"/>
      <c r="DC71" s="66"/>
      <c r="DE71" s="66"/>
      <c r="DG71" s="66"/>
    </row>
    <row r="72" spans="1:111" x14ac:dyDescent="0.2">
      <c r="A72" s="28" t="s">
        <v>90</v>
      </c>
      <c r="B72" s="29" t="s">
        <v>91</v>
      </c>
      <c r="E72" s="66"/>
      <c r="G72" s="66"/>
      <c r="I72" s="82"/>
      <c r="K72" s="82"/>
      <c r="M72" s="130"/>
      <c r="O72" s="130"/>
      <c r="Q72" s="98"/>
      <c r="S72" s="98"/>
      <c r="U72" s="98"/>
      <c r="W72" s="114"/>
      <c r="Y72" s="114"/>
      <c r="AA72" s="114"/>
      <c r="AC72" s="150"/>
      <c r="AE72" s="150"/>
      <c r="AG72" s="150"/>
      <c r="AI72" s="150"/>
      <c r="AK72" s="167"/>
      <c r="AM72" s="167"/>
      <c r="AO72" s="54"/>
      <c r="AQ72" s="54"/>
      <c r="AS72" s="54"/>
      <c r="AU72" s="54"/>
      <c r="AW72" s="54"/>
      <c r="AY72" s="54"/>
      <c r="BA72" s="54"/>
      <c r="BC72" s="54"/>
      <c r="BE72" s="66"/>
      <c r="BG72" s="66"/>
      <c r="BI72" s="66"/>
      <c r="BK72" s="66"/>
      <c r="BM72" s="82"/>
      <c r="BO72" s="82"/>
      <c r="BQ72" s="98"/>
      <c r="BS72" s="98"/>
      <c r="BU72" s="114"/>
      <c r="BW72" s="114"/>
      <c r="BY72" s="54"/>
      <c r="CA72" s="54"/>
      <c r="CC72" s="54"/>
      <c r="CE72" s="54"/>
      <c r="CG72" s="54"/>
      <c r="CI72" s="54"/>
      <c r="CK72" s="54"/>
      <c r="CM72" s="150"/>
      <c r="CO72" s="150"/>
      <c r="CQ72" s="150"/>
      <c r="CS72" s="167"/>
      <c r="CU72" s="167"/>
      <c r="CW72" s="167"/>
      <c r="CY72" s="54"/>
      <c r="DA72" s="54"/>
      <c r="DC72" s="66"/>
      <c r="DE72" s="66"/>
      <c r="DG72" s="66"/>
    </row>
    <row r="73" spans="1:111" outlineLevel="1" x14ac:dyDescent="0.2">
      <c r="A73" s="30"/>
      <c r="B73" s="32" t="s">
        <v>63</v>
      </c>
      <c r="C73" s="31">
        <f>697.229271339924+34.7707286600755</f>
        <v>731.99999999999955</v>
      </c>
      <c r="D73" s="67">
        <f>0+0</f>
        <v>0</v>
      </c>
      <c r="E73" s="68"/>
      <c r="F73" s="67">
        <f>697.229271339924+34.7707286600755</f>
        <v>731.99999999999955</v>
      </c>
      <c r="G73" s="68"/>
      <c r="H73" s="83">
        <f>108.389601570209+6.61039842979146</f>
        <v>115.00000000000045</v>
      </c>
      <c r="I73" s="84"/>
      <c r="J73" s="83">
        <f>588.872678023413+28.1273219765872</f>
        <v>617.00000000000011</v>
      </c>
      <c r="K73" s="84"/>
      <c r="L73" s="131"/>
      <c r="M73" s="132"/>
      <c r="N73" s="131"/>
      <c r="O73" s="132"/>
      <c r="P73" s="99">
        <f>197.775455801689+12.2245441983108</f>
        <v>209.9999999999998</v>
      </c>
      <c r="Q73" s="100"/>
      <c r="R73" s="99">
        <f>183.624369897672+9.37563010232844</f>
        <v>193.00000000000045</v>
      </c>
      <c r="S73" s="100"/>
      <c r="T73" s="99">
        <f>202.167219603481+6.83278039651879</f>
        <v>208.99999999999977</v>
      </c>
      <c r="U73" s="100"/>
      <c r="V73" s="115">
        <f>142.903095748811+7.09690425118887</f>
        <v>149.99999999999989</v>
      </c>
      <c r="W73" s="116"/>
      <c r="X73" s="115">
        <f>159.312800786456+8.68719921354355</f>
        <v>167.99999999999955</v>
      </c>
      <c r="Y73" s="116"/>
      <c r="Z73" s="115">
        <f>187.399553476067+6.60044652393256</f>
        <v>193.99999999999957</v>
      </c>
      <c r="AA73" s="116"/>
      <c r="AB73" s="151">
        <f>208.712119511624+8.28788048837572</f>
        <v>216.99999999999972</v>
      </c>
      <c r="AC73" s="152"/>
      <c r="AD73" s="151">
        <f>325.192210296743+17.807789703257</f>
        <v>343</v>
      </c>
      <c r="AE73" s="152"/>
      <c r="AF73" s="151">
        <f>115.004887560678+3.99511243932177</f>
        <v>118.99999999999977</v>
      </c>
      <c r="AG73" s="152"/>
      <c r="AH73" s="151">
        <f>51.6589616511431+1.34103834885692</f>
        <v>53.000000000000021</v>
      </c>
      <c r="AI73" s="152"/>
      <c r="AJ73" s="168">
        <f>285.680783112892+11.319216887108</f>
        <v>297</v>
      </c>
      <c r="AK73" s="169"/>
      <c r="AL73" s="168">
        <f>411.777536847407+23.2224631525931</f>
        <v>435.00000000000011</v>
      </c>
      <c r="AM73" s="169"/>
      <c r="AN73" s="31"/>
      <c r="AO73" s="55"/>
      <c r="AP73" s="31"/>
      <c r="AQ73" s="55"/>
      <c r="AR73" s="31"/>
      <c r="AS73" s="55"/>
      <c r="AT73" s="31"/>
      <c r="AU73" s="55"/>
      <c r="AV73" s="31"/>
      <c r="AW73" s="55"/>
      <c r="AX73" s="31"/>
      <c r="AY73" s="55"/>
      <c r="AZ73" s="31"/>
      <c r="BA73" s="55"/>
      <c r="BB73" s="31"/>
      <c r="BC73" s="55"/>
      <c r="BD73" s="67">
        <f>114.303400105512+3.69659989448833</f>
        <v>118.00000000000033</v>
      </c>
      <c r="BE73" s="68"/>
      <c r="BF73" s="67">
        <f>320.143729237325+8.85627076267514</f>
        <v>329.00000000000011</v>
      </c>
      <c r="BG73" s="68"/>
      <c r="BH73" s="67">
        <f>154.033955500815+4.96604449918459</f>
        <v>158.9999999999996</v>
      </c>
      <c r="BI73" s="68"/>
      <c r="BJ73" s="67">
        <f>116.914459213077+9.08554078692349</f>
        <v>126.00000000000048</v>
      </c>
      <c r="BK73" s="68"/>
      <c r="BL73" s="83">
        <f>437.557569429027+19.4424305709727</f>
        <v>456.99999999999972</v>
      </c>
      <c r="BM73" s="84"/>
      <c r="BN73" s="83">
        <f>224.770174492461+13.2298255075391</f>
        <v>238.00000000000009</v>
      </c>
      <c r="BO73" s="84"/>
      <c r="BP73" s="99">
        <f>305.676105764278+10.3238942357225</f>
        <v>316.00000000000051</v>
      </c>
      <c r="BQ73" s="100"/>
      <c r="BR73" s="99">
        <f>387.334736028857+23.6652639711435</f>
        <v>411.00000000000045</v>
      </c>
      <c r="BS73" s="100"/>
      <c r="BT73" s="115">
        <f>203.733293028276+11.2667069717237</f>
        <v>214.99999999999969</v>
      </c>
      <c r="BU73" s="116"/>
      <c r="BV73" s="115">
        <f>489.286603261412+22.713396738588</f>
        <v>512</v>
      </c>
      <c r="BW73" s="116"/>
      <c r="BX73" s="31"/>
      <c r="BY73" s="55"/>
      <c r="BZ73" s="31"/>
      <c r="CA73" s="55"/>
      <c r="CB73" s="31"/>
      <c r="CC73" s="55"/>
      <c r="CD73" s="31"/>
      <c r="CE73" s="55"/>
      <c r="CF73" s="31"/>
      <c r="CG73" s="55"/>
      <c r="CH73" s="31"/>
      <c r="CI73" s="55"/>
      <c r="CJ73" s="31"/>
      <c r="CK73" s="55"/>
      <c r="CL73" s="151">
        <f>486.495760961447+20.504239038553</f>
        <v>507</v>
      </c>
      <c r="CM73" s="152"/>
      <c r="CN73" s="151">
        <f>130.574243824643+9.42575617535672</f>
        <v>139.99999999999972</v>
      </c>
      <c r="CO73" s="152"/>
      <c r="CP73" s="151">
        <f>102.931344042743+8.06865595725701</f>
        <v>111.00000000000001</v>
      </c>
      <c r="CQ73" s="152"/>
      <c r="CR73" s="168">
        <f>197.775455801689+12.2245441983108</f>
        <v>209.9999999999998</v>
      </c>
      <c r="CS73" s="169"/>
      <c r="CT73" s="168">
        <f>202.167219603481+6.83278039651879</f>
        <v>208.99999999999977</v>
      </c>
      <c r="CU73" s="169"/>
      <c r="CV73" s="168">
        <f>183.624369897672+9.37563010232844</f>
        <v>193.00000000000045</v>
      </c>
      <c r="CW73" s="169"/>
      <c r="CX73" s="31"/>
      <c r="CY73" s="55"/>
      <c r="CZ73" s="31"/>
      <c r="DA73" s="55"/>
      <c r="DB73" s="67">
        <f>189.847824869749+11.1521751302509</f>
        <v>200.99999999999989</v>
      </c>
      <c r="DC73" s="68"/>
      <c r="DD73" s="67">
        <f>301.510371446147+14.4896285538527</f>
        <v>315.99999999999972</v>
      </c>
      <c r="DE73" s="68"/>
      <c r="DF73" s="67">
        <f>205.898931548757+9.10106845124318</f>
        <v>215.00000000000017</v>
      </c>
      <c r="DG73" s="68"/>
    </row>
    <row r="74" spans="1:111" s="35" customFormat="1" outlineLevel="1" x14ac:dyDescent="0.2">
      <c r="A74" s="30"/>
      <c r="B74" s="33"/>
      <c r="C74" s="34" t="s">
        <v>167</v>
      </c>
      <c r="D74" s="69" t="s">
        <v>167</v>
      </c>
      <c r="E74" s="70"/>
      <c r="F74" s="69" t="s">
        <v>167</v>
      </c>
      <c r="G74" s="70"/>
      <c r="H74" s="85" t="s">
        <v>167</v>
      </c>
      <c r="I74" s="86"/>
      <c r="J74" s="85" t="s">
        <v>167</v>
      </c>
      <c r="K74" s="86"/>
      <c r="L74" s="133"/>
      <c r="M74" s="134"/>
      <c r="N74" s="133"/>
      <c r="O74" s="134"/>
      <c r="P74" s="101" t="s">
        <v>167</v>
      </c>
      <c r="Q74" s="102"/>
      <c r="R74" s="101" t="s">
        <v>167</v>
      </c>
      <c r="S74" s="102"/>
      <c r="T74" s="101" t="s">
        <v>167</v>
      </c>
      <c r="U74" s="102"/>
      <c r="V74" s="117" t="s">
        <v>167</v>
      </c>
      <c r="W74" s="118"/>
      <c r="X74" s="117" t="s">
        <v>167</v>
      </c>
      <c r="Y74" s="118"/>
      <c r="Z74" s="117" t="s">
        <v>167</v>
      </c>
      <c r="AA74" s="118"/>
      <c r="AB74" s="153" t="s">
        <v>167</v>
      </c>
      <c r="AC74" s="154"/>
      <c r="AD74" s="153" t="s">
        <v>167</v>
      </c>
      <c r="AE74" s="154"/>
      <c r="AF74" s="153" t="s">
        <v>167</v>
      </c>
      <c r="AG74" s="154"/>
      <c r="AH74" s="153" t="s">
        <v>167</v>
      </c>
      <c r="AI74" s="154"/>
      <c r="AJ74" s="170" t="s">
        <v>167</v>
      </c>
      <c r="AK74" s="171"/>
      <c r="AL74" s="170" t="s">
        <v>167</v>
      </c>
      <c r="AM74" s="171"/>
      <c r="AN74" s="34"/>
      <c r="AO74" s="56"/>
      <c r="AP74" s="34"/>
      <c r="AQ74" s="56"/>
      <c r="AR74" s="34"/>
      <c r="AS74" s="56"/>
      <c r="AT74" s="34"/>
      <c r="AU74" s="56"/>
      <c r="AV74" s="34"/>
      <c r="AW74" s="56"/>
      <c r="AX74" s="34"/>
      <c r="AY74" s="56"/>
      <c r="AZ74" s="34"/>
      <c r="BA74" s="56"/>
      <c r="BB74" s="34"/>
      <c r="BC74" s="56"/>
      <c r="BD74" s="69" t="s">
        <v>167</v>
      </c>
      <c r="BE74" s="70"/>
      <c r="BF74" s="69" t="s">
        <v>167</v>
      </c>
      <c r="BG74" s="70"/>
      <c r="BH74" s="69" t="s">
        <v>167</v>
      </c>
      <c r="BI74" s="70"/>
      <c r="BJ74" s="69" t="s">
        <v>167</v>
      </c>
      <c r="BK74" s="70"/>
      <c r="BL74" s="85" t="s">
        <v>167</v>
      </c>
      <c r="BM74" s="86"/>
      <c r="BN74" s="85" t="s">
        <v>167</v>
      </c>
      <c r="BO74" s="86"/>
      <c r="BP74" s="101" t="s">
        <v>167</v>
      </c>
      <c r="BQ74" s="102"/>
      <c r="BR74" s="101" t="s">
        <v>167</v>
      </c>
      <c r="BS74" s="102"/>
      <c r="BT74" s="117" t="s">
        <v>167</v>
      </c>
      <c r="BU74" s="118"/>
      <c r="BV74" s="117" t="s">
        <v>167</v>
      </c>
      <c r="BW74" s="118"/>
      <c r="BX74" s="34"/>
      <c r="BY74" s="56"/>
      <c r="BZ74" s="34"/>
      <c r="CA74" s="56"/>
      <c r="CB74" s="34"/>
      <c r="CC74" s="56"/>
      <c r="CD74" s="34"/>
      <c r="CE74" s="56"/>
      <c r="CF74" s="34"/>
      <c r="CG74" s="56"/>
      <c r="CH74" s="34"/>
      <c r="CI74" s="56"/>
      <c r="CJ74" s="34"/>
      <c r="CK74" s="56"/>
      <c r="CL74" s="153" t="s">
        <v>167</v>
      </c>
      <c r="CM74" s="154"/>
      <c r="CN74" s="153" t="s">
        <v>167</v>
      </c>
      <c r="CO74" s="154"/>
      <c r="CP74" s="153" t="s">
        <v>167</v>
      </c>
      <c r="CQ74" s="154"/>
      <c r="CR74" s="170" t="s">
        <v>167</v>
      </c>
      <c r="CS74" s="171"/>
      <c r="CT74" s="170" t="s">
        <v>167</v>
      </c>
      <c r="CU74" s="171"/>
      <c r="CV74" s="170" t="s">
        <v>167</v>
      </c>
      <c r="CW74" s="171"/>
      <c r="CX74" s="34"/>
      <c r="CY74" s="56"/>
      <c r="CZ74" s="34"/>
      <c r="DA74" s="56"/>
      <c r="DB74" s="69" t="s">
        <v>167</v>
      </c>
      <c r="DC74" s="70"/>
      <c r="DD74" s="69" t="s">
        <v>167</v>
      </c>
      <c r="DE74" s="70"/>
      <c r="DF74" s="69" t="s">
        <v>167</v>
      </c>
      <c r="DG74" s="70"/>
    </row>
    <row r="75" spans="1:111" outlineLevel="1" x14ac:dyDescent="0.2">
      <c r="A75" s="30"/>
      <c r="B75" s="30"/>
      <c r="E75" s="66"/>
      <c r="G75" s="66"/>
      <c r="I75" s="82"/>
      <c r="K75" s="82"/>
      <c r="M75" s="130"/>
      <c r="O75" s="130"/>
      <c r="Q75" s="98"/>
      <c r="S75" s="98"/>
      <c r="U75" s="98"/>
      <c r="W75" s="114"/>
      <c r="Y75" s="114"/>
      <c r="AA75" s="114"/>
      <c r="AC75" s="150"/>
      <c r="AE75" s="150"/>
      <c r="AG75" s="150"/>
      <c r="AI75" s="150"/>
      <c r="AK75" s="167"/>
      <c r="AM75" s="167"/>
      <c r="AO75" s="54"/>
      <c r="AQ75" s="54"/>
      <c r="AS75" s="54"/>
      <c r="AU75" s="54"/>
      <c r="AW75" s="54"/>
      <c r="AY75" s="54"/>
      <c r="BA75" s="54"/>
      <c r="BC75" s="54"/>
      <c r="BE75" s="66"/>
      <c r="BG75" s="66"/>
      <c r="BI75" s="66"/>
      <c r="BK75" s="66"/>
      <c r="BM75" s="82"/>
      <c r="BO75" s="82"/>
      <c r="BQ75" s="98"/>
      <c r="BS75" s="98"/>
      <c r="BU75" s="114"/>
      <c r="BW75" s="114"/>
      <c r="BY75" s="54"/>
      <c r="CA75" s="54"/>
      <c r="CC75" s="54"/>
      <c r="CE75" s="54"/>
      <c r="CG75" s="54"/>
      <c r="CI75" s="54"/>
      <c r="CK75" s="54"/>
      <c r="CM75" s="150"/>
      <c r="CO75" s="150"/>
      <c r="CQ75" s="150"/>
      <c r="CS75" s="167"/>
      <c r="CU75" s="167"/>
      <c r="CW75" s="167"/>
      <c r="CY75" s="54"/>
      <c r="DA75" s="54"/>
      <c r="DC75" s="66"/>
      <c r="DE75" s="66"/>
      <c r="DG75" s="66"/>
    </row>
    <row r="76" spans="1:111" outlineLevel="1" x14ac:dyDescent="0.2">
      <c r="A76" s="30"/>
      <c r="B76" s="29" t="s">
        <v>92</v>
      </c>
      <c r="C76" s="36">
        <v>32.204550105560024</v>
      </c>
      <c r="D76" s="71">
        <v>0</v>
      </c>
      <c r="E76" s="68"/>
      <c r="F76" s="71">
        <v>32.204550105560024</v>
      </c>
      <c r="G76" s="68"/>
      <c r="H76" s="87">
        <v>73.232359926860454</v>
      </c>
      <c r="I76" s="84" t="s">
        <v>177</v>
      </c>
      <c r="J76" s="87">
        <v>24.509025188761587</v>
      </c>
      <c r="K76" s="84"/>
      <c r="L76" s="135"/>
      <c r="M76" s="132"/>
      <c r="N76" s="135"/>
      <c r="O76" s="132"/>
      <c r="P76" s="103">
        <v>46.267799669894011</v>
      </c>
      <c r="Q76" s="100" t="s">
        <v>250</v>
      </c>
      <c r="R76" s="103">
        <v>30.324867406354112</v>
      </c>
      <c r="S76" s="100" t="s">
        <v>182</v>
      </c>
      <c r="T76" s="103">
        <v>19.473652177441327</v>
      </c>
      <c r="U76" s="100"/>
      <c r="V76" s="119">
        <v>33.011384436028386</v>
      </c>
      <c r="W76" s="116" t="s">
        <v>185</v>
      </c>
      <c r="X76" s="119">
        <v>26.174061764158623</v>
      </c>
      <c r="Y76" s="116" t="s">
        <v>185</v>
      </c>
      <c r="Z76" s="119">
        <v>15.858463478307382</v>
      </c>
      <c r="AA76" s="116"/>
      <c r="AB76" s="155">
        <v>37.573603489165194</v>
      </c>
      <c r="AC76" s="152"/>
      <c r="AD76" s="155">
        <v>31.269733453550678</v>
      </c>
      <c r="AE76" s="152"/>
      <c r="AF76" s="155">
        <v>28.203550539978696</v>
      </c>
      <c r="AG76" s="152"/>
      <c r="AH76" s="155">
        <v>25.370802253518761</v>
      </c>
      <c r="AI76" s="152"/>
      <c r="AJ76" s="172">
        <v>33.808524653521516</v>
      </c>
      <c r="AK76" s="169"/>
      <c r="AL76" s="172">
        <v>31.050110091277556</v>
      </c>
      <c r="AM76" s="169"/>
      <c r="AN76" s="36"/>
      <c r="AO76" s="55"/>
      <c r="AP76" s="36"/>
      <c r="AQ76" s="55"/>
      <c r="AR76" s="36"/>
      <c r="AS76" s="55"/>
      <c r="AT76" s="36"/>
      <c r="AU76" s="55"/>
      <c r="AV76" s="36"/>
      <c r="AW76" s="55"/>
      <c r="AX76" s="36"/>
      <c r="AY76" s="55"/>
      <c r="AZ76" s="36"/>
      <c r="BA76" s="55"/>
      <c r="BB76" s="36"/>
      <c r="BC76" s="55"/>
      <c r="BD76" s="71">
        <v>32.962427059082685</v>
      </c>
      <c r="BE76" s="68"/>
      <c r="BF76" s="71">
        <v>30.833294731576714</v>
      </c>
      <c r="BG76" s="68"/>
      <c r="BH76" s="71">
        <v>31.730454293075695</v>
      </c>
      <c r="BI76" s="68"/>
      <c r="BJ76" s="71">
        <v>34.999458198832059</v>
      </c>
      <c r="BK76" s="68"/>
      <c r="BL76" s="87">
        <v>34.041151160105436</v>
      </c>
      <c r="BM76" s="84"/>
      <c r="BN76" s="87">
        <v>28.793407357421835</v>
      </c>
      <c r="BO76" s="84"/>
      <c r="BP76" s="103">
        <v>31.525297097596152</v>
      </c>
      <c r="BQ76" s="100"/>
      <c r="BR76" s="103">
        <v>32.854159663633347</v>
      </c>
      <c r="BS76" s="100"/>
      <c r="BT76" s="119">
        <v>30.465702988940258</v>
      </c>
      <c r="BU76" s="116"/>
      <c r="BV76" s="119">
        <v>33.314627996960517</v>
      </c>
      <c r="BW76" s="116"/>
      <c r="BX76" s="36"/>
      <c r="BY76" s="55"/>
      <c r="BZ76" s="36"/>
      <c r="CA76" s="55"/>
      <c r="CB76" s="36"/>
      <c r="CC76" s="55"/>
      <c r="CD76" s="36"/>
      <c r="CE76" s="55"/>
      <c r="CF76" s="36"/>
      <c r="CG76" s="55"/>
      <c r="CH76" s="36"/>
      <c r="CI76" s="55"/>
      <c r="CJ76" s="36"/>
      <c r="CK76" s="55"/>
      <c r="CL76" s="155">
        <v>28.885951393744655</v>
      </c>
      <c r="CM76" s="152"/>
      <c r="CN76" s="155">
        <v>34.229122417908762</v>
      </c>
      <c r="CO76" s="152"/>
      <c r="CP76" s="155">
        <v>42.419566282503432</v>
      </c>
      <c r="CQ76" s="152" t="s">
        <v>201</v>
      </c>
      <c r="CR76" s="172">
        <v>46.267799669894011</v>
      </c>
      <c r="CS76" s="169" t="s">
        <v>243</v>
      </c>
      <c r="CT76" s="172">
        <v>19.473652177441327</v>
      </c>
      <c r="CU76" s="169"/>
      <c r="CV76" s="172">
        <v>30.324867406354112</v>
      </c>
      <c r="CW76" s="169" t="s">
        <v>204</v>
      </c>
      <c r="CX76" s="36"/>
      <c r="CY76" s="55"/>
      <c r="CZ76" s="36"/>
      <c r="DA76" s="55"/>
      <c r="DB76" s="71">
        <v>40.823268780803502</v>
      </c>
      <c r="DC76" s="68" t="s">
        <v>245</v>
      </c>
      <c r="DD76" s="71">
        <v>30.477981058906991</v>
      </c>
      <c r="DE76" s="68"/>
      <c r="DF76" s="71">
        <v>26.722192597731606</v>
      </c>
      <c r="DG76" s="68"/>
    </row>
    <row r="77" spans="1:111" outlineLevel="1" x14ac:dyDescent="0.2">
      <c r="A77" s="30"/>
      <c r="B77" s="37" t="s">
        <v>93</v>
      </c>
      <c r="C77" s="38">
        <v>12.081315233894617</v>
      </c>
      <c r="D77" s="72">
        <v>0</v>
      </c>
      <c r="E77" s="68"/>
      <c r="F77" s="72">
        <v>12.081315233894617</v>
      </c>
      <c r="G77" s="68"/>
      <c r="H77" s="88">
        <v>45.757715721024859</v>
      </c>
      <c r="I77" s="84" t="s">
        <v>177</v>
      </c>
      <c r="J77" s="88">
        <v>5.7646831693127361</v>
      </c>
      <c r="K77" s="84"/>
      <c r="L77" s="136"/>
      <c r="M77" s="132"/>
      <c r="N77" s="136"/>
      <c r="O77" s="132"/>
      <c r="P77" s="104">
        <v>18.186723437050649</v>
      </c>
      <c r="Q77" s="100" t="s">
        <v>182</v>
      </c>
      <c r="R77" s="104">
        <v>13.490819641504146</v>
      </c>
      <c r="S77" s="100" t="s">
        <v>182</v>
      </c>
      <c r="T77" s="104">
        <v>4.0039551199191585</v>
      </c>
      <c r="U77" s="100"/>
      <c r="V77" s="120">
        <v>6.4868731984904633</v>
      </c>
      <c r="W77" s="116" t="s">
        <v>185</v>
      </c>
      <c r="X77" s="120">
        <v>9.5174515344141177</v>
      </c>
      <c r="Y77" s="116" t="s">
        <v>185</v>
      </c>
      <c r="Z77" s="120">
        <v>1.8708367067249894</v>
      </c>
      <c r="AA77" s="116"/>
      <c r="AB77" s="156">
        <v>13.079411624549884</v>
      </c>
      <c r="AC77" s="152"/>
      <c r="AD77" s="156">
        <v>12.043790009148086</v>
      </c>
      <c r="AE77" s="152"/>
      <c r="AF77" s="156">
        <v>9.9751572455662707</v>
      </c>
      <c r="AG77" s="152"/>
      <c r="AH77" s="156">
        <v>12.989487364438736</v>
      </c>
      <c r="AI77" s="152"/>
      <c r="AJ77" s="173">
        <v>12.787763690216996</v>
      </c>
      <c r="AK77" s="169"/>
      <c r="AL77" s="173">
        <v>11.572858059781021</v>
      </c>
      <c r="AM77" s="169"/>
      <c r="AN77" s="38"/>
      <c r="AO77" s="55"/>
      <c r="AP77" s="38"/>
      <c r="AQ77" s="55"/>
      <c r="AR77" s="38"/>
      <c r="AS77" s="55"/>
      <c r="AT77" s="38"/>
      <c r="AU77" s="55"/>
      <c r="AV77" s="38"/>
      <c r="AW77" s="55"/>
      <c r="AX77" s="38"/>
      <c r="AY77" s="55"/>
      <c r="AZ77" s="38"/>
      <c r="BA77" s="55"/>
      <c r="BB77" s="38"/>
      <c r="BC77" s="55"/>
      <c r="BD77" s="72">
        <v>10.624862324693444</v>
      </c>
      <c r="BE77" s="68"/>
      <c r="BF77" s="72">
        <v>11.632814314664413</v>
      </c>
      <c r="BG77" s="68"/>
      <c r="BH77" s="72">
        <v>10.746949573007363</v>
      </c>
      <c r="BI77" s="68"/>
      <c r="BJ77" s="72">
        <v>15.751298769869782</v>
      </c>
      <c r="BK77" s="68"/>
      <c r="BL77" s="88">
        <v>13.305289599442222</v>
      </c>
      <c r="BM77" s="84"/>
      <c r="BN77" s="88">
        <v>9.3903441506656034</v>
      </c>
      <c r="BO77" s="84"/>
      <c r="BP77" s="104">
        <v>11.835488655864443</v>
      </c>
      <c r="BQ77" s="100"/>
      <c r="BR77" s="104">
        <v>12.177192701291505</v>
      </c>
      <c r="BS77" s="100"/>
      <c r="BT77" s="120">
        <v>12.579583062612203</v>
      </c>
      <c r="BU77" s="116"/>
      <c r="BV77" s="120">
        <v>11.986808763635555</v>
      </c>
      <c r="BW77" s="116"/>
      <c r="BX77" s="38"/>
      <c r="BY77" s="55"/>
      <c r="BZ77" s="38"/>
      <c r="CA77" s="55"/>
      <c r="CB77" s="38"/>
      <c r="CC77" s="55"/>
      <c r="CD77" s="38"/>
      <c r="CE77" s="55"/>
      <c r="CF77" s="38"/>
      <c r="CG77" s="55"/>
      <c r="CH77" s="38"/>
      <c r="CI77" s="55"/>
      <c r="CJ77" s="38"/>
      <c r="CK77" s="55"/>
      <c r="CL77" s="156">
        <v>10.05663999925166</v>
      </c>
      <c r="CM77" s="152"/>
      <c r="CN77" s="156">
        <v>15.287333421047686</v>
      </c>
      <c r="CO77" s="152"/>
      <c r="CP77" s="156">
        <v>15.705552343160321</v>
      </c>
      <c r="CQ77" s="152"/>
      <c r="CR77" s="173">
        <v>18.186723437050649</v>
      </c>
      <c r="CS77" s="169" t="s">
        <v>204</v>
      </c>
      <c r="CT77" s="173">
        <v>4.0039551199191585</v>
      </c>
      <c r="CU77" s="169"/>
      <c r="CV77" s="173">
        <v>13.490819641504146</v>
      </c>
      <c r="CW77" s="169" t="s">
        <v>204</v>
      </c>
      <c r="CX77" s="38"/>
      <c r="CY77" s="55"/>
      <c r="CZ77" s="38"/>
      <c r="DA77" s="55"/>
      <c r="DB77" s="72">
        <v>17.479314979837707</v>
      </c>
      <c r="DC77" s="68" t="s">
        <v>208</v>
      </c>
      <c r="DD77" s="72">
        <v>11.250672036596965</v>
      </c>
      <c r="DE77" s="68"/>
      <c r="DF77" s="72">
        <v>8.2840992750507869</v>
      </c>
      <c r="DG77" s="68"/>
    </row>
    <row r="78" spans="1:111" outlineLevel="1" x14ac:dyDescent="0.2">
      <c r="A78" s="30"/>
      <c r="B78" s="37" t="s">
        <v>94</v>
      </c>
      <c r="C78" s="38">
        <v>20.123234871665407</v>
      </c>
      <c r="D78" s="72">
        <v>0</v>
      </c>
      <c r="E78" s="68"/>
      <c r="F78" s="72">
        <v>20.123234871665407</v>
      </c>
      <c r="G78" s="68"/>
      <c r="H78" s="88">
        <v>27.474644205835599</v>
      </c>
      <c r="I78" s="84" t="s">
        <v>177</v>
      </c>
      <c r="J78" s="88">
        <v>18.744342019448851</v>
      </c>
      <c r="K78" s="84"/>
      <c r="L78" s="136"/>
      <c r="M78" s="132"/>
      <c r="N78" s="136"/>
      <c r="O78" s="132"/>
      <c r="P78" s="104">
        <v>28.081076232843362</v>
      </c>
      <c r="Q78" s="100" t="s">
        <v>250</v>
      </c>
      <c r="R78" s="104">
        <v>16.834047764849966</v>
      </c>
      <c r="S78" s="100"/>
      <c r="T78" s="104">
        <v>15.469697057522168</v>
      </c>
      <c r="U78" s="100"/>
      <c r="V78" s="120">
        <v>26.524511237537922</v>
      </c>
      <c r="W78" s="116" t="s">
        <v>251</v>
      </c>
      <c r="X78" s="120">
        <v>16.656610229744505</v>
      </c>
      <c r="Y78" s="116"/>
      <c r="Z78" s="120">
        <v>13.987626771582393</v>
      </c>
      <c r="AA78" s="116"/>
      <c r="AB78" s="156">
        <v>24.49419186461531</v>
      </c>
      <c r="AC78" s="152"/>
      <c r="AD78" s="156">
        <v>19.225943444402592</v>
      </c>
      <c r="AE78" s="152"/>
      <c r="AF78" s="156">
        <v>18.228393294412427</v>
      </c>
      <c r="AG78" s="152"/>
      <c r="AH78" s="156">
        <v>12.381314889080025</v>
      </c>
      <c r="AI78" s="152"/>
      <c r="AJ78" s="173">
        <v>21.020760963304518</v>
      </c>
      <c r="AK78" s="169"/>
      <c r="AL78" s="173">
        <v>19.477252031496537</v>
      </c>
      <c r="AM78" s="169"/>
      <c r="AN78" s="38"/>
      <c r="AO78" s="55"/>
      <c r="AP78" s="38"/>
      <c r="AQ78" s="55"/>
      <c r="AR78" s="38"/>
      <c r="AS78" s="55"/>
      <c r="AT78" s="38"/>
      <c r="AU78" s="55"/>
      <c r="AV78" s="38"/>
      <c r="AW78" s="55"/>
      <c r="AX78" s="38"/>
      <c r="AY78" s="55"/>
      <c r="AZ78" s="38"/>
      <c r="BA78" s="55"/>
      <c r="BB78" s="38"/>
      <c r="BC78" s="55"/>
      <c r="BD78" s="72">
        <v>22.33756473438924</v>
      </c>
      <c r="BE78" s="68"/>
      <c r="BF78" s="72">
        <v>19.200480416912303</v>
      </c>
      <c r="BG78" s="68"/>
      <c r="BH78" s="72">
        <v>20.983504720068332</v>
      </c>
      <c r="BI78" s="68"/>
      <c r="BJ78" s="72">
        <v>19.248159428962275</v>
      </c>
      <c r="BK78" s="68"/>
      <c r="BL78" s="88">
        <v>20.73586156066321</v>
      </c>
      <c r="BM78" s="84"/>
      <c r="BN78" s="88">
        <v>19.403063206756233</v>
      </c>
      <c r="BO78" s="84"/>
      <c r="BP78" s="104">
        <v>19.68980844173171</v>
      </c>
      <c r="BQ78" s="100"/>
      <c r="BR78" s="104">
        <v>20.67696696234184</v>
      </c>
      <c r="BS78" s="100"/>
      <c r="BT78" s="120">
        <v>17.886119926328053</v>
      </c>
      <c r="BU78" s="116"/>
      <c r="BV78" s="120">
        <v>21.327819233324963</v>
      </c>
      <c r="BW78" s="116"/>
      <c r="BX78" s="38"/>
      <c r="BY78" s="55"/>
      <c r="BZ78" s="38"/>
      <c r="CA78" s="55"/>
      <c r="CB78" s="38"/>
      <c r="CC78" s="55"/>
      <c r="CD78" s="38"/>
      <c r="CE78" s="55"/>
      <c r="CF78" s="38"/>
      <c r="CG78" s="55"/>
      <c r="CH78" s="38"/>
      <c r="CI78" s="55"/>
      <c r="CJ78" s="38"/>
      <c r="CK78" s="55"/>
      <c r="CL78" s="156">
        <v>18.829311394492997</v>
      </c>
      <c r="CM78" s="152"/>
      <c r="CN78" s="156">
        <v>18.941788996861078</v>
      </c>
      <c r="CO78" s="152"/>
      <c r="CP78" s="156">
        <v>26.714013939343111</v>
      </c>
      <c r="CQ78" s="152"/>
      <c r="CR78" s="173">
        <v>28.081076232843362</v>
      </c>
      <c r="CS78" s="169" t="s">
        <v>243</v>
      </c>
      <c r="CT78" s="173">
        <v>15.469697057522168</v>
      </c>
      <c r="CU78" s="169"/>
      <c r="CV78" s="173">
        <v>16.834047764849966</v>
      </c>
      <c r="CW78" s="169"/>
      <c r="CX78" s="38"/>
      <c r="CY78" s="55"/>
      <c r="CZ78" s="38"/>
      <c r="DA78" s="55"/>
      <c r="DB78" s="72">
        <v>23.343953800965799</v>
      </c>
      <c r="DC78" s="68"/>
      <c r="DD78" s="72">
        <v>19.227309022310024</v>
      </c>
      <c r="DE78" s="68"/>
      <c r="DF78" s="72">
        <v>18.438093322680817</v>
      </c>
      <c r="DG78" s="68"/>
    </row>
    <row r="79" spans="1:111" outlineLevel="1" x14ac:dyDescent="0.2">
      <c r="A79" s="30"/>
      <c r="B79" s="29"/>
      <c r="E79" s="66"/>
      <c r="G79" s="66"/>
      <c r="I79" s="82"/>
      <c r="K79" s="82"/>
      <c r="M79" s="130"/>
      <c r="O79" s="130"/>
      <c r="Q79" s="98"/>
      <c r="S79" s="98"/>
      <c r="U79" s="98"/>
      <c r="W79" s="114"/>
      <c r="Y79" s="114"/>
      <c r="AA79" s="114"/>
      <c r="AC79" s="150"/>
      <c r="AE79" s="150"/>
      <c r="AG79" s="150"/>
      <c r="AI79" s="150"/>
      <c r="AK79" s="167"/>
      <c r="AM79" s="167"/>
      <c r="AO79" s="54"/>
      <c r="AQ79" s="54"/>
      <c r="AS79" s="54"/>
      <c r="AU79" s="54"/>
      <c r="AW79" s="54"/>
      <c r="AY79" s="54"/>
      <c r="BA79" s="54"/>
      <c r="BC79" s="54"/>
      <c r="BE79" s="66"/>
      <c r="BG79" s="66"/>
      <c r="BI79" s="66"/>
      <c r="BK79" s="66"/>
      <c r="BM79" s="82"/>
      <c r="BO79" s="82"/>
      <c r="BQ79" s="98"/>
      <c r="BS79" s="98"/>
      <c r="BU79" s="114"/>
      <c r="BW79" s="114"/>
      <c r="BY79" s="54"/>
      <c r="CA79" s="54"/>
      <c r="CC79" s="54"/>
      <c r="CE79" s="54"/>
      <c r="CG79" s="54"/>
      <c r="CI79" s="54"/>
      <c r="CK79" s="54"/>
      <c r="CM79" s="150"/>
      <c r="CO79" s="150"/>
      <c r="CQ79" s="150"/>
      <c r="CS79" s="167"/>
      <c r="CU79" s="167"/>
      <c r="CW79" s="167"/>
      <c r="CY79" s="54"/>
      <c r="DA79" s="54"/>
      <c r="DC79" s="66"/>
      <c r="DE79" s="66"/>
      <c r="DG79" s="66"/>
    </row>
    <row r="80" spans="1:111" outlineLevel="1" x14ac:dyDescent="0.2">
      <c r="A80" s="30"/>
      <c r="B80" s="32" t="s">
        <v>95</v>
      </c>
      <c r="C80" s="38">
        <v>45.066766338716114</v>
      </c>
      <c r="D80" s="72">
        <v>0</v>
      </c>
      <c r="E80" s="68"/>
      <c r="F80" s="72">
        <v>45.066766338716114</v>
      </c>
      <c r="G80" s="68"/>
      <c r="H80" s="88">
        <v>19.523312799594517</v>
      </c>
      <c r="I80" s="84"/>
      <c r="J80" s="88">
        <v>49.857913709915543</v>
      </c>
      <c r="K80" s="84" t="s">
        <v>176</v>
      </c>
      <c r="L80" s="136"/>
      <c r="M80" s="132"/>
      <c r="N80" s="136"/>
      <c r="O80" s="132"/>
      <c r="P80" s="104">
        <v>39.284510929659326</v>
      </c>
      <c r="Q80" s="100"/>
      <c r="R80" s="104">
        <v>46.170249203400203</v>
      </c>
      <c r="S80" s="100"/>
      <c r="T80" s="104">
        <v>49.864121246548692</v>
      </c>
      <c r="U80" s="100" t="s">
        <v>180</v>
      </c>
      <c r="V80" s="120">
        <v>48.379603448725867</v>
      </c>
      <c r="W80" s="116"/>
      <c r="X80" s="120">
        <v>48.580437327195241</v>
      </c>
      <c r="Y80" s="116"/>
      <c r="Z80" s="120">
        <v>52.688889592850884</v>
      </c>
      <c r="AA80" s="116"/>
      <c r="AB80" s="156">
        <v>42.102134422967424</v>
      </c>
      <c r="AC80" s="152"/>
      <c r="AD80" s="156">
        <v>45.879627443379064</v>
      </c>
      <c r="AE80" s="152"/>
      <c r="AF80" s="156">
        <v>47.559915139853864</v>
      </c>
      <c r="AG80" s="152"/>
      <c r="AH80" s="156">
        <v>45.896202707334872</v>
      </c>
      <c r="AI80" s="152"/>
      <c r="AJ80" s="173">
        <v>42.329456987313357</v>
      </c>
      <c r="AK80" s="169"/>
      <c r="AL80" s="173">
        <v>47.03690947517989</v>
      </c>
      <c r="AM80" s="169"/>
      <c r="AN80" s="38"/>
      <c r="AO80" s="55"/>
      <c r="AP80" s="38"/>
      <c r="AQ80" s="55"/>
      <c r="AR80" s="38"/>
      <c r="AS80" s="55"/>
      <c r="AT80" s="38"/>
      <c r="AU80" s="55"/>
      <c r="AV80" s="38"/>
      <c r="AW80" s="55"/>
      <c r="AX80" s="38"/>
      <c r="AY80" s="55"/>
      <c r="AZ80" s="38"/>
      <c r="BA80" s="55"/>
      <c r="BB80" s="38"/>
      <c r="BC80" s="55"/>
      <c r="BD80" s="72">
        <v>46.67985470126078</v>
      </c>
      <c r="BE80" s="68"/>
      <c r="BF80" s="72">
        <v>47.03066956774142</v>
      </c>
      <c r="BG80" s="68"/>
      <c r="BH80" s="72">
        <v>44.989908295982062</v>
      </c>
      <c r="BI80" s="68"/>
      <c r="BJ80" s="72">
        <v>39.801403989727177</v>
      </c>
      <c r="BK80" s="68"/>
      <c r="BL80" s="88">
        <v>42.263442101789153</v>
      </c>
      <c r="BM80" s="84"/>
      <c r="BN80" s="88">
        <v>51.152812710876631</v>
      </c>
      <c r="BO80" s="84" t="s">
        <v>195</v>
      </c>
      <c r="BP80" s="104">
        <v>42.226468642323624</v>
      </c>
      <c r="BQ80" s="100"/>
      <c r="BR80" s="104">
        <v>47.3158689796239</v>
      </c>
      <c r="BS80" s="100"/>
      <c r="BT80" s="120">
        <v>46.861961757172544</v>
      </c>
      <c r="BU80" s="116"/>
      <c r="BV80" s="120">
        <v>43.970132134920057</v>
      </c>
      <c r="BW80" s="116"/>
      <c r="BX80" s="38"/>
      <c r="BY80" s="55"/>
      <c r="BZ80" s="38"/>
      <c r="CA80" s="55"/>
      <c r="CB80" s="38"/>
      <c r="CC80" s="55"/>
      <c r="CD80" s="38"/>
      <c r="CE80" s="55"/>
      <c r="CF80" s="38"/>
      <c r="CG80" s="55"/>
      <c r="CH80" s="38"/>
      <c r="CI80" s="55"/>
      <c r="CJ80" s="38"/>
      <c r="CK80" s="55"/>
      <c r="CL80" s="156">
        <v>46.5346002109384</v>
      </c>
      <c r="CM80" s="152"/>
      <c r="CN80" s="156">
        <v>47.311392214724734</v>
      </c>
      <c r="CO80" s="152"/>
      <c r="CP80" s="156">
        <v>39.055585227297811</v>
      </c>
      <c r="CQ80" s="152"/>
      <c r="CR80" s="173">
        <v>39.284510929659326</v>
      </c>
      <c r="CS80" s="169"/>
      <c r="CT80" s="173">
        <v>49.864121246548692</v>
      </c>
      <c r="CU80" s="169" t="s">
        <v>48</v>
      </c>
      <c r="CV80" s="173">
        <v>46.170249203400203</v>
      </c>
      <c r="CW80" s="169"/>
      <c r="CX80" s="38"/>
      <c r="CY80" s="55"/>
      <c r="CZ80" s="38"/>
      <c r="DA80" s="55"/>
      <c r="DB80" s="72">
        <v>39.148603574451137</v>
      </c>
      <c r="DC80" s="68"/>
      <c r="DD80" s="72">
        <v>47.378850491342263</v>
      </c>
      <c r="DE80" s="68"/>
      <c r="DF80" s="72">
        <v>47.197856334956434</v>
      </c>
      <c r="DG80" s="68"/>
    </row>
    <row r="81" spans="1:111" outlineLevel="1" x14ac:dyDescent="0.2">
      <c r="A81" s="30"/>
      <c r="B81" s="29"/>
      <c r="E81" s="66"/>
      <c r="G81" s="66"/>
      <c r="I81" s="82"/>
      <c r="K81" s="82"/>
      <c r="M81" s="130"/>
      <c r="O81" s="130"/>
      <c r="Q81" s="98"/>
      <c r="S81" s="98"/>
      <c r="U81" s="98"/>
      <c r="W81" s="114"/>
      <c r="Y81" s="114"/>
      <c r="AA81" s="114"/>
      <c r="AC81" s="150"/>
      <c r="AE81" s="150"/>
      <c r="AG81" s="150"/>
      <c r="AI81" s="150"/>
      <c r="AK81" s="167"/>
      <c r="AM81" s="167"/>
      <c r="AO81" s="54"/>
      <c r="AQ81" s="54"/>
      <c r="AS81" s="54"/>
      <c r="AU81" s="54"/>
      <c r="AW81" s="54"/>
      <c r="AY81" s="54"/>
      <c r="BA81" s="54"/>
      <c r="BC81" s="54"/>
      <c r="BE81" s="66"/>
      <c r="BG81" s="66"/>
      <c r="BI81" s="66"/>
      <c r="BK81" s="66"/>
      <c r="BM81" s="82"/>
      <c r="BO81" s="82"/>
      <c r="BQ81" s="98"/>
      <c r="BS81" s="98"/>
      <c r="BU81" s="114"/>
      <c r="BW81" s="114"/>
      <c r="BY81" s="54"/>
      <c r="CA81" s="54"/>
      <c r="CC81" s="54"/>
      <c r="CE81" s="54"/>
      <c r="CG81" s="54"/>
      <c r="CI81" s="54"/>
      <c r="CK81" s="54"/>
      <c r="CM81" s="150"/>
      <c r="CO81" s="150"/>
      <c r="CQ81" s="150"/>
      <c r="CS81" s="167"/>
      <c r="CU81" s="167"/>
      <c r="CW81" s="167"/>
      <c r="CY81" s="54"/>
      <c r="DA81" s="54"/>
      <c r="DC81" s="66"/>
      <c r="DE81" s="66"/>
      <c r="DG81" s="66"/>
    </row>
    <row r="82" spans="1:111" outlineLevel="1" x14ac:dyDescent="0.2">
      <c r="A82" s="30"/>
      <c r="B82" s="29" t="s">
        <v>96</v>
      </c>
      <c r="C82" s="36">
        <v>22.728683555723862</v>
      </c>
      <c r="D82" s="71">
        <v>0</v>
      </c>
      <c r="E82" s="68"/>
      <c r="F82" s="71">
        <v>22.728683555723862</v>
      </c>
      <c r="G82" s="68"/>
      <c r="H82" s="87">
        <v>7.2443272735450375</v>
      </c>
      <c r="I82" s="84"/>
      <c r="J82" s="87">
        <v>25.633061101322873</v>
      </c>
      <c r="K82" s="84" t="s">
        <v>176</v>
      </c>
      <c r="L82" s="135"/>
      <c r="M82" s="132"/>
      <c r="N82" s="135"/>
      <c r="O82" s="132"/>
      <c r="P82" s="103">
        <v>14.447689400446658</v>
      </c>
      <c r="Q82" s="100"/>
      <c r="R82" s="103">
        <v>23.504883390245674</v>
      </c>
      <c r="S82" s="100" t="s">
        <v>180</v>
      </c>
      <c r="T82" s="103">
        <v>30.662226576009989</v>
      </c>
      <c r="U82" s="100" t="s">
        <v>180</v>
      </c>
      <c r="V82" s="119">
        <v>18.609012115245747</v>
      </c>
      <c r="W82" s="116"/>
      <c r="X82" s="119">
        <v>25.245500908646139</v>
      </c>
      <c r="Y82" s="116"/>
      <c r="Z82" s="119">
        <v>31.452646928841734</v>
      </c>
      <c r="AA82" s="116" t="s">
        <v>183</v>
      </c>
      <c r="AB82" s="155">
        <v>20.324262087867393</v>
      </c>
      <c r="AC82" s="152"/>
      <c r="AD82" s="155">
        <v>22.850639103070264</v>
      </c>
      <c r="AE82" s="152"/>
      <c r="AF82" s="155">
        <v>24.236534320167443</v>
      </c>
      <c r="AG82" s="152"/>
      <c r="AH82" s="155">
        <v>28.732995039146374</v>
      </c>
      <c r="AI82" s="152"/>
      <c r="AJ82" s="172">
        <v>23.86201835916512</v>
      </c>
      <c r="AK82" s="169"/>
      <c r="AL82" s="172">
        <v>21.91298043354255</v>
      </c>
      <c r="AM82" s="169"/>
      <c r="AN82" s="36"/>
      <c r="AO82" s="55"/>
      <c r="AP82" s="36"/>
      <c r="AQ82" s="55"/>
      <c r="AR82" s="36"/>
      <c r="AS82" s="55"/>
      <c r="AT82" s="36"/>
      <c r="AU82" s="55"/>
      <c r="AV82" s="36"/>
      <c r="AW82" s="55"/>
      <c r="AX82" s="36"/>
      <c r="AY82" s="55"/>
      <c r="AZ82" s="36"/>
      <c r="BA82" s="55"/>
      <c r="BB82" s="36"/>
      <c r="BC82" s="55"/>
      <c r="BD82" s="71">
        <v>20.357718239656535</v>
      </c>
      <c r="BE82" s="68"/>
      <c r="BF82" s="71">
        <v>22.13603570068187</v>
      </c>
      <c r="BG82" s="68"/>
      <c r="BH82" s="71">
        <v>23.279637410942243</v>
      </c>
      <c r="BI82" s="68"/>
      <c r="BJ82" s="71">
        <v>25.199137811440771</v>
      </c>
      <c r="BK82" s="68"/>
      <c r="BL82" s="87">
        <v>23.695406738105415</v>
      </c>
      <c r="BM82" s="84"/>
      <c r="BN82" s="87">
        <v>20.053779931701531</v>
      </c>
      <c r="BO82" s="84"/>
      <c r="BP82" s="103">
        <v>26.248234260080231</v>
      </c>
      <c r="BQ82" s="100" t="s">
        <v>198</v>
      </c>
      <c r="BR82" s="103">
        <v>19.829971356742746</v>
      </c>
      <c r="BS82" s="100"/>
      <c r="BT82" s="119">
        <v>22.672335253887198</v>
      </c>
      <c r="BU82" s="116"/>
      <c r="BV82" s="119">
        <v>22.715239868119429</v>
      </c>
      <c r="BW82" s="116"/>
      <c r="BX82" s="36"/>
      <c r="BY82" s="55"/>
      <c r="BZ82" s="36"/>
      <c r="CA82" s="55"/>
      <c r="CB82" s="36"/>
      <c r="CC82" s="55"/>
      <c r="CD82" s="36"/>
      <c r="CE82" s="55"/>
      <c r="CF82" s="36"/>
      <c r="CG82" s="55"/>
      <c r="CH82" s="36"/>
      <c r="CI82" s="55"/>
      <c r="CJ82" s="36"/>
      <c r="CK82" s="55"/>
      <c r="CL82" s="155">
        <v>24.579448395316952</v>
      </c>
      <c r="CM82" s="152"/>
      <c r="CN82" s="155">
        <v>18.459485367366501</v>
      </c>
      <c r="CO82" s="152"/>
      <c r="CP82" s="155">
        <v>18.524848490198764</v>
      </c>
      <c r="CQ82" s="152"/>
      <c r="CR82" s="172">
        <v>14.447689400446658</v>
      </c>
      <c r="CS82" s="169"/>
      <c r="CT82" s="172">
        <v>30.662226576009989</v>
      </c>
      <c r="CU82" s="169" t="s">
        <v>48</v>
      </c>
      <c r="CV82" s="172">
        <v>23.504883390245674</v>
      </c>
      <c r="CW82" s="169" t="s">
        <v>48</v>
      </c>
      <c r="CX82" s="36"/>
      <c r="CY82" s="55"/>
      <c r="CZ82" s="36"/>
      <c r="DA82" s="55"/>
      <c r="DB82" s="71">
        <v>20.028127644745357</v>
      </c>
      <c r="DC82" s="68"/>
      <c r="DD82" s="71">
        <v>22.14316844975075</v>
      </c>
      <c r="DE82" s="68"/>
      <c r="DF82" s="71">
        <v>26.079951067311971</v>
      </c>
      <c r="DG82" s="68"/>
    </row>
    <row r="83" spans="1:111" outlineLevel="1" x14ac:dyDescent="0.2">
      <c r="A83" s="30"/>
      <c r="B83" s="37" t="s">
        <v>97</v>
      </c>
      <c r="C83" s="38">
        <v>6.9398713607611802</v>
      </c>
      <c r="D83" s="72">
        <v>0</v>
      </c>
      <c r="E83" s="68"/>
      <c r="F83" s="72">
        <v>6.9398713607611802</v>
      </c>
      <c r="G83" s="68"/>
      <c r="H83" s="88">
        <v>5.6071638011116249</v>
      </c>
      <c r="I83" s="84"/>
      <c r="J83" s="88">
        <v>7.1898453241962015</v>
      </c>
      <c r="K83" s="84"/>
      <c r="L83" s="136"/>
      <c r="M83" s="132"/>
      <c r="N83" s="136"/>
      <c r="O83" s="132"/>
      <c r="P83" s="104">
        <v>6.1974599492597289</v>
      </c>
      <c r="Q83" s="100"/>
      <c r="R83" s="104">
        <v>6.9250210177794838</v>
      </c>
      <c r="S83" s="100"/>
      <c r="T83" s="104">
        <v>8.3132389282726358</v>
      </c>
      <c r="U83" s="100"/>
      <c r="V83" s="120">
        <v>6.974347374204692</v>
      </c>
      <c r="W83" s="116"/>
      <c r="X83" s="120">
        <v>6.7731440226421427</v>
      </c>
      <c r="Y83" s="116"/>
      <c r="Z83" s="120">
        <v>7.9538992599224452</v>
      </c>
      <c r="AA83" s="116"/>
      <c r="AB83" s="156">
        <v>9.26042963788022</v>
      </c>
      <c r="AC83" s="152"/>
      <c r="AD83" s="156">
        <v>5.6509198054411893</v>
      </c>
      <c r="AE83" s="152"/>
      <c r="AF83" s="156">
        <v>7.2090223478092321</v>
      </c>
      <c r="AG83" s="152"/>
      <c r="AH83" s="156">
        <v>6.0377731466196174</v>
      </c>
      <c r="AI83" s="152"/>
      <c r="AJ83" s="173">
        <v>8.8044933668196705</v>
      </c>
      <c r="AK83" s="169"/>
      <c r="AL83" s="173">
        <v>5.5978336968585225</v>
      </c>
      <c r="AM83" s="169"/>
      <c r="AN83" s="38"/>
      <c r="AO83" s="55"/>
      <c r="AP83" s="38"/>
      <c r="AQ83" s="55"/>
      <c r="AR83" s="38"/>
      <c r="AS83" s="55"/>
      <c r="AT83" s="38"/>
      <c r="AU83" s="55"/>
      <c r="AV83" s="38"/>
      <c r="AW83" s="55"/>
      <c r="AX83" s="38"/>
      <c r="AY83" s="55"/>
      <c r="AZ83" s="38"/>
      <c r="BA83" s="55"/>
      <c r="BB83" s="38"/>
      <c r="BC83" s="55"/>
      <c r="BD83" s="72">
        <v>3.9859538793122069</v>
      </c>
      <c r="BE83" s="68"/>
      <c r="BF83" s="72">
        <v>6.5149545426824895</v>
      </c>
      <c r="BG83" s="68"/>
      <c r="BH83" s="72">
        <v>9.3245943905655846</v>
      </c>
      <c r="BI83" s="68"/>
      <c r="BJ83" s="72">
        <v>7.3609037657596854</v>
      </c>
      <c r="BK83" s="68"/>
      <c r="BL83" s="88">
        <v>7.3524220070978652</v>
      </c>
      <c r="BM83" s="84"/>
      <c r="BN83" s="88">
        <v>6.7331656544588263</v>
      </c>
      <c r="BO83" s="84"/>
      <c r="BP83" s="104">
        <v>8.8458024415915428</v>
      </c>
      <c r="BQ83" s="100"/>
      <c r="BR83" s="104">
        <v>5.594625707041061</v>
      </c>
      <c r="BS83" s="100"/>
      <c r="BT83" s="120">
        <v>7.3178382403216071</v>
      </c>
      <c r="BU83" s="116"/>
      <c r="BV83" s="120">
        <v>6.84484161932044</v>
      </c>
      <c r="BW83" s="116"/>
      <c r="BX83" s="38"/>
      <c r="BY83" s="55"/>
      <c r="BZ83" s="38"/>
      <c r="CA83" s="55"/>
      <c r="CB83" s="38"/>
      <c r="CC83" s="55"/>
      <c r="CD83" s="38"/>
      <c r="CE83" s="55"/>
      <c r="CF83" s="38"/>
      <c r="CG83" s="55"/>
      <c r="CH83" s="38"/>
      <c r="CI83" s="55"/>
      <c r="CJ83" s="38"/>
      <c r="CK83" s="55"/>
      <c r="CL83" s="156">
        <v>7.405956632126089</v>
      </c>
      <c r="CM83" s="152"/>
      <c r="CN83" s="156">
        <v>5.6851681296167511</v>
      </c>
      <c r="CO83" s="152"/>
      <c r="CP83" s="156">
        <v>5.6285284238125293</v>
      </c>
      <c r="CQ83" s="152"/>
      <c r="CR83" s="173">
        <v>6.1974599492597289</v>
      </c>
      <c r="CS83" s="169"/>
      <c r="CT83" s="173">
        <v>8.3132389282726358</v>
      </c>
      <c r="CU83" s="169"/>
      <c r="CV83" s="173">
        <v>6.9250210177794838</v>
      </c>
      <c r="CW83" s="169"/>
      <c r="CX83" s="38"/>
      <c r="CY83" s="55"/>
      <c r="CZ83" s="38"/>
      <c r="DA83" s="55"/>
      <c r="DB83" s="72">
        <v>9.2159605715139143</v>
      </c>
      <c r="DC83" s="68"/>
      <c r="DD83" s="72">
        <v>6.8555049738661271</v>
      </c>
      <c r="DE83" s="68"/>
      <c r="DF83" s="72">
        <v>4.9532353326481777</v>
      </c>
      <c r="DG83" s="68"/>
    </row>
    <row r="84" spans="1:111" outlineLevel="1" x14ac:dyDescent="0.2">
      <c r="A84" s="30"/>
      <c r="B84" s="37" t="s">
        <v>98</v>
      </c>
      <c r="C84" s="38">
        <v>15.788812194962683</v>
      </c>
      <c r="D84" s="72">
        <v>0</v>
      </c>
      <c r="E84" s="68"/>
      <c r="F84" s="72">
        <v>15.788812194962683</v>
      </c>
      <c r="G84" s="68"/>
      <c r="H84" s="88">
        <v>1.6371634724334125</v>
      </c>
      <c r="I84" s="84"/>
      <c r="J84" s="88">
        <v>18.443215777126671</v>
      </c>
      <c r="K84" s="84" t="s">
        <v>176</v>
      </c>
      <c r="L84" s="136"/>
      <c r="M84" s="132"/>
      <c r="N84" s="136"/>
      <c r="O84" s="132"/>
      <c r="P84" s="104">
        <v>8.2502294511869287</v>
      </c>
      <c r="Q84" s="100"/>
      <c r="R84" s="104">
        <v>16.579862372466188</v>
      </c>
      <c r="S84" s="100" t="s">
        <v>180</v>
      </c>
      <c r="T84" s="104">
        <v>22.348987647737353</v>
      </c>
      <c r="U84" s="100" t="s">
        <v>180</v>
      </c>
      <c r="V84" s="120">
        <v>11.634664741041055</v>
      </c>
      <c r="W84" s="116"/>
      <c r="X84" s="120">
        <v>18.472356886003997</v>
      </c>
      <c r="Y84" s="116"/>
      <c r="Z84" s="120">
        <v>23.498747668919286</v>
      </c>
      <c r="AA84" s="116" t="s">
        <v>183</v>
      </c>
      <c r="AB84" s="156">
        <v>11.063832449987173</v>
      </c>
      <c r="AC84" s="152"/>
      <c r="AD84" s="156">
        <v>17.199719297629077</v>
      </c>
      <c r="AE84" s="152"/>
      <c r="AF84" s="156">
        <v>17.027511972358212</v>
      </c>
      <c r="AG84" s="152"/>
      <c r="AH84" s="156">
        <v>22.695221892526757</v>
      </c>
      <c r="AI84" s="152" t="s">
        <v>170</v>
      </c>
      <c r="AJ84" s="173">
        <v>15.057524992345451</v>
      </c>
      <c r="AK84" s="169"/>
      <c r="AL84" s="173">
        <v>16.315146736684031</v>
      </c>
      <c r="AM84" s="169"/>
      <c r="AN84" s="38"/>
      <c r="AO84" s="55"/>
      <c r="AP84" s="38"/>
      <c r="AQ84" s="55"/>
      <c r="AR84" s="38"/>
      <c r="AS84" s="55"/>
      <c r="AT84" s="38"/>
      <c r="AU84" s="55"/>
      <c r="AV84" s="38"/>
      <c r="AW84" s="55"/>
      <c r="AX84" s="38"/>
      <c r="AY84" s="55"/>
      <c r="AZ84" s="38"/>
      <c r="BA84" s="55"/>
      <c r="BB84" s="38"/>
      <c r="BC84" s="55"/>
      <c r="BD84" s="72">
        <v>16.371764360344329</v>
      </c>
      <c r="BE84" s="68"/>
      <c r="BF84" s="72">
        <v>15.621081157999377</v>
      </c>
      <c r="BG84" s="68"/>
      <c r="BH84" s="72">
        <v>13.95504302037666</v>
      </c>
      <c r="BI84" s="68"/>
      <c r="BJ84" s="72">
        <v>17.838234045681087</v>
      </c>
      <c r="BK84" s="68"/>
      <c r="BL84" s="88">
        <v>16.342984731007547</v>
      </c>
      <c r="BM84" s="84"/>
      <c r="BN84" s="88">
        <v>13.320614277242704</v>
      </c>
      <c r="BO84" s="84"/>
      <c r="BP84" s="104">
        <v>17.402431818488687</v>
      </c>
      <c r="BQ84" s="100"/>
      <c r="BR84" s="104">
        <v>14.235345649701685</v>
      </c>
      <c r="BS84" s="100"/>
      <c r="BT84" s="120">
        <v>15.354497013565588</v>
      </c>
      <c r="BU84" s="116"/>
      <c r="BV84" s="120">
        <v>15.87039824879899</v>
      </c>
      <c r="BW84" s="116"/>
      <c r="BX84" s="38"/>
      <c r="BY84" s="55"/>
      <c r="BZ84" s="38"/>
      <c r="CA84" s="55"/>
      <c r="CB84" s="38"/>
      <c r="CC84" s="55"/>
      <c r="CD84" s="38"/>
      <c r="CE84" s="55"/>
      <c r="CF84" s="38"/>
      <c r="CG84" s="55"/>
      <c r="CH84" s="38"/>
      <c r="CI84" s="55"/>
      <c r="CJ84" s="38"/>
      <c r="CK84" s="55"/>
      <c r="CL84" s="156">
        <v>17.17349176319086</v>
      </c>
      <c r="CM84" s="152"/>
      <c r="CN84" s="156">
        <v>12.77431723774975</v>
      </c>
      <c r="CO84" s="152"/>
      <c r="CP84" s="156">
        <v>12.896320066386233</v>
      </c>
      <c r="CQ84" s="152"/>
      <c r="CR84" s="173">
        <v>8.2502294511869287</v>
      </c>
      <c r="CS84" s="169"/>
      <c r="CT84" s="173">
        <v>22.348987647737353</v>
      </c>
      <c r="CU84" s="169" t="s">
        <v>48</v>
      </c>
      <c r="CV84" s="173">
        <v>16.579862372466188</v>
      </c>
      <c r="CW84" s="169" t="s">
        <v>48</v>
      </c>
      <c r="CX84" s="38"/>
      <c r="CY84" s="55"/>
      <c r="CZ84" s="38"/>
      <c r="DA84" s="55"/>
      <c r="DB84" s="72">
        <v>10.812167073231443</v>
      </c>
      <c r="DC84" s="68"/>
      <c r="DD84" s="72">
        <v>15.287663475884623</v>
      </c>
      <c r="DE84" s="68"/>
      <c r="DF84" s="72">
        <v>21.126715734663794</v>
      </c>
      <c r="DG84" s="68" t="s">
        <v>206</v>
      </c>
    </row>
    <row r="85" spans="1:111" outlineLevel="1" x14ac:dyDescent="0.2">
      <c r="A85" s="30"/>
      <c r="B85" s="29"/>
      <c r="E85" s="66"/>
      <c r="G85" s="66"/>
      <c r="I85" s="82"/>
      <c r="K85" s="82"/>
      <c r="M85" s="130"/>
      <c r="O85" s="130"/>
      <c r="Q85" s="98"/>
      <c r="S85" s="98"/>
      <c r="U85" s="98"/>
      <c r="W85" s="114"/>
      <c r="Y85" s="114"/>
      <c r="AA85" s="114"/>
      <c r="AC85" s="150"/>
      <c r="AE85" s="150"/>
      <c r="AG85" s="150"/>
      <c r="AI85" s="150"/>
      <c r="AK85" s="167"/>
      <c r="AM85" s="167"/>
      <c r="AO85" s="54"/>
      <c r="AQ85" s="54"/>
      <c r="AS85" s="54"/>
      <c r="AU85" s="54"/>
      <c r="AW85" s="54"/>
      <c r="AY85" s="54"/>
      <c r="BA85" s="54"/>
      <c r="BC85" s="54"/>
      <c r="BE85" s="66"/>
      <c r="BG85" s="66"/>
      <c r="BI85" s="66"/>
      <c r="BK85" s="66"/>
      <c r="BM85" s="82"/>
      <c r="BO85" s="82"/>
      <c r="BQ85" s="98"/>
      <c r="BS85" s="98"/>
      <c r="BU85" s="114"/>
      <c r="BW85" s="114"/>
      <c r="BY85" s="54"/>
      <c r="CA85" s="54"/>
      <c r="CC85" s="54"/>
      <c r="CE85" s="54"/>
      <c r="CG85" s="54"/>
      <c r="CI85" s="54"/>
      <c r="CK85" s="54"/>
      <c r="CM85" s="150"/>
      <c r="CO85" s="150"/>
      <c r="CQ85" s="150"/>
      <c r="CS85" s="167"/>
      <c r="CU85" s="167"/>
      <c r="CW85" s="167"/>
      <c r="CY85" s="54"/>
      <c r="DA85" s="54"/>
      <c r="DC85" s="66"/>
      <c r="DE85" s="66"/>
      <c r="DG85" s="66"/>
    </row>
    <row r="86" spans="1:111" x14ac:dyDescent="0.2">
      <c r="A86" s="30"/>
      <c r="B86" s="30"/>
      <c r="E86" s="66"/>
      <c r="G86" s="66"/>
      <c r="I86" s="82"/>
      <c r="K86" s="82"/>
      <c r="M86" s="130"/>
      <c r="O86" s="130"/>
      <c r="Q86" s="98"/>
      <c r="S86" s="98"/>
      <c r="U86" s="98"/>
      <c r="W86" s="114"/>
      <c r="Y86" s="114"/>
      <c r="AA86" s="114"/>
      <c r="AC86" s="150"/>
      <c r="AE86" s="150"/>
      <c r="AG86" s="150"/>
      <c r="AI86" s="150"/>
      <c r="AK86" s="167"/>
      <c r="AM86" s="167"/>
      <c r="AO86" s="54"/>
      <c r="AQ86" s="54"/>
      <c r="AS86" s="54"/>
      <c r="AU86" s="54"/>
      <c r="AW86" s="54"/>
      <c r="AY86" s="54"/>
      <c r="BA86" s="54"/>
      <c r="BC86" s="54"/>
      <c r="BE86" s="66"/>
      <c r="BG86" s="66"/>
      <c r="BI86" s="66"/>
      <c r="BK86" s="66"/>
      <c r="BM86" s="82"/>
      <c r="BO86" s="82"/>
      <c r="BQ86" s="98"/>
      <c r="BS86" s="98"/>
      <c r="BU86" s="114"/>
      <c r="BW86" s="114"/>
      <c r="BY86" s="54"/>
      <c r="CA86" s="54"/>
      <c r="CC86" s="54"/>
      <c r="CE86" s="54"/>
      <c r="CG86" s="54"/>
      <c r="CI86" s="54"/>
      <c r="CK86" s="54"/>
      <c r="CM86" s="150"/>
      <c r="CO86" s="150"/>
      <c r="CQ86" s="150"/>
      <c r="CS86" s="167"/>
      <c r="CU86" s="167"/>
      <c r="CW86" s="167"/>
      <c r="CY86" s="54"/>
      <c r="DA86" s="54"/>
      <c r="DC86" s="66"/>
      <c r="DE86" s="66"/>
      <c r="DG86" s="66"/>
    </row>
    <row r="87" spans="1:111" x14ac:dyDescent="0.2">
      <c r="A87" s="28" t="s">
        <v>267</v>
      </c>
      <c r="B87" s="29" t="s">
        <v>99</v>
      </c>
      <c r="E87" s="66"/>
      <c r="G87" s="66"/>
      <c r="I87" s="82"/>
      <c r="K87" s="82"/>
      <c r="M87" s="130"/>
      <c r="O87" s="130"/>
      <c r="Q87" s="98"/>
      <c r="S87" s="98"/>
      <c r="U87" s="98"/>
      <c r="W87" s="114"/>
      <c r="Y87" s="114"/>
      <c r="AA87" s="114"/>
      <c r="AC87" s="150"/>
      <c r="AE87" s="150"/>
      <c r="AG87" s="150"/>
      <c r="AI87" s="150"/>
      <c r="AK87" s="167"/>
      <c r="AM87" s="167"/>
      <c r="AO87" s="54"/>
      <c r="AQ87" s="54"/>
      <c r="AS87" s="54"/>
      <c r="AU87" s="54"/>
      <c r="AW87" s="54"/>
      <c r="AY87" s="54"/>
      <c r="BA87" s="54"/>
      <c r="BC87" s="54"/>
      <c r="BE87" s="66"/>
      <c r="BG87" s="66"/>
      <c r="BI87" s="66"/>
      <c r="BK87" s="66"/>
      <c r="BM87" s="82"/>
      <c r="BO87" s="82"/>
      <c r="BQ87" s="98"/>
      <c r="BS87" s="98"/>
      <c r="BU87" s="114"/>
      <c r="BW87" s="114"/>
      <c r="BY87" s="54"/>
      <c r="CA87" s="54"/>
      <c r="CC87" s="54"/>
      <c r="CE87" s="54"/>
      <c r="CG87" s="54"/>
      <c r="CI87" s="54"/>
      <c r="CK87" s="54"/>
      <c r="CM87" s="150"/>
      <c r="CO87" s="150"/>
      <c r="CQ87" s="150"/>
      <c r="CS87" s="167"/>
      <c r="CU87" s="167"/>
      <c r="CW87" s="167"/>
      <c r="CY87" s="54"/>
      <c r="DA87" s="54"/>
      <c r="DC87" s="66"/>
      <c r="DE87" s="66"/>
      <c r="DG87" s="66"/>
    </row>
    <row r="88" spans="1:111" outlineLevel="1" x14ac:dyDescent="0.2">
      <c r="A88" s="30"/>
      <c r="B88" s="32" t="s">
        <v>100</v>
      </c>
      <c r="C88" s="31">
        <f>356.716302676201+17.2836973237988</f>
        <v>373.99999999999977</v>
      </c>
      <c r="D88" s="67">
        <f>204.982379021087+9.01762097891273</f>
        <v>213.99999999999974</v>
      </c>
      <c r="E88" s="68"/>
      <c r="F88" s="67">
        <f>151.970941429114+8.02905857088649</f>
        <v>160.00000000000048</v>
      </c>
      <c r="G88" s="68"/>
      <c r="H88" s="83">
        <f>214.731655570405+9.26834442959498</f>
        <v>223.99999999999997</v>
      </c>
      <c r="I88" s="84"/>
      <c r="J88" s="83">
        <f>142.309604573396+7.6903954266044</f>
        <v>150.0000000000004</v>
      </c>
      <c r="K88" s="84"/>
      <c r="L88" s="131"/>
      <c r="M88" s="132"/>
      <c r="N88" s="131"/>
      <c r="O88" s="132"/>
      <c r="P88" s="99">
        <f>22.9927164655653+1.00728353443475</f>
        <v>24.00000000000005</v>
      </c>
      <c r="Q88" s="100"/>
      <c r="R88" s="99">
        <f>39.1355058507006+2.86449414929938</f>
        <v>41.999999999999986</v>
      </c>
      <c r="S88" s="100"/>
      <c r="T88" s="99">
        <f>62.330198225625+2.66980177437495</f>
        <v>64.999999999999943</v>
      </c>
      <c r="U88" s="100"/>
      <c r="V88" s="115">
        <f>21.1803056844639+0.819694315536054</f>
        <v>21.999999999999954</v>
      </c>
      <c r="W88" s="116"/>
      <c r="X88" s="115">
        <f>34.2882724564345+2.71172754356546</f>
        <v>36.999999999999957</v>
      </c>
      <c r="Y88" s="116"/>
      <c r="Z88" s="115">
        <f>61.3375656738827+2.66243432611729</f>
        <v>63.999999999999993</v>
      </c>
      <c r="AA88" s="116"/>
      <c r="AB88" s="151">
        <f>88.0967962679017+1.90320373209826</f>
        <v>89.999999999999957</v>
      </c>
      <c r="AC88" s="152"/>
      <c r="AD88" s="151">
        <f>98.7336701993598+5.26632980064024</f>
        <v>104.00000000000004</v>
      </c>
      <c r="AE88" s="152"/>
      <c r="AF88" s="151">
        <f>60.4725520644328+2.5274479355672</f>
        <v>63</v>
      </c>
      <c r="AG88" s="152"/>
      <c r="AH88" s="151">
        <f>113.29363367799+3.70636632200997</f>
        <v>116.99999999999997</v>
      </c>
      <c r="AI88" s="152"/>
      <c r="AJ88" s="168">
        <f>198.003796238165+8.99620376183503</f>
        <v>207.00000000000003</v>
      </c>
      <c r="AK88" s="169"/>
      <c r="AL88" s="168">
        <f>159.009232382244+7.99076761775606</f>
        <v>167.00000000000006</v>
      </c>
      <c r="AM88" s="169"/>
      <c r="AN88" s="31"/>
      <c r="AO88" s="55"/>
      <c r="AP88" s="31"/>
      <c r="AQ88" s="55"/>
      <c r="AR88" s="31"/>
      <c r="AS88" s="55"/>
      <c r="AT88" s="31"/>
      <c r="AU88" s="55"/>
      <c r="AV88" s="31"/>
      <c r="AW88" s="55"/>
      <c r="AX88" s="31"/>
      <c r="AY88" s="55"/>
      <c r="AZ88" s="31"/>
      <c r="BA88" s="55"/>
      <c r="BB88" s="31"/>
      <c r="BC88" s="55"/>
      <c r="BD88" s="67">
        <f>70.0408161361224+1.95918386387756</f>
        <v>71.999999999999957</v>
      </c>
      <c r="BE88" s="68"/>
      <c r="BF88" s="67">
        <f>144.117529557401+2.88247044259907</f>
        <v>147.00000000000009</v>
      </c>
      <c r="BG88" s="68"/>
      <c r="BH88" s="67">
        <f>76.7005470000012+3.29945299999882</f>
        <v>80.000000000000014</v>
      </c>
      <c r="BI88" s="68"/>
      <c r="BJ88" s="67">
        <f>70.8048752272199+4.19512477278015</f>
        <v>75.000000000000043</v>
      </c>
      <c r="BK88" s="68"/>
      <c r="BL88" s="83">
        <f>189.346341794113+8.65365820588704</f>
        <v>198.00000000000003</v>
      </c>
      <c r="BM88" s="84"/>
      <c r="BN88" s="83">
        <f>148.398800936723+7.60119906327739</f>
        <v>156.0000000000004</v>
      </c>
      <c r="BO88" s="84"/>
      <c r="BP88" s="99">
        <f>120.081985998738+3.91801400126205</f>
        <v>124.00000000000006</v>
      </c>
      <c r="BQ88" s="100"/>
      <c r="BR88" s="99">
        <f>232.930378915427+13.0696210845729</f>
        <v>245.99999999999991</v>
      </c>
      <c r="BS88" s="100"/>
      <c r="BT88" s="115">
        <f>137.637653118171+7.36234688182861</f>
        <v>144.9999999999996</v>
      </c>
      <c r="BU88" s="116"/>
      <c r="BV88" s="115">
        <f>215.277177077327+9.72282292267303</f>
        <v>225.00000000000003</v>
      </c>
      <c r="BW88" s="116"/>
      <c r="BX88" s="31"/>
      <c r="BY88" s="55"/>
      <c r="BZ88" s="31"/>
      <c r="CA88" s="55"/>
      <c r="CB88" s="31"/>
      <c r="CC88" s="55"/>
      <c r="CD88" s="31"/>
      <c r="CE88" s="55"/>
      <c r="CF88" s="31"/>
      <c r="CG88" s="55"/>
      <c r="CH88" s="31"/>
      <c r="CI88" s="55"/>
      <c r="CJ88" s="31"/>
      <c r="CK88" s="55"/>
      <c r="CL88" s="151">
        <f>283.152122479228+13.8478775207725</f>
        <v>297.00000000000051</v>
      </c>
      <c r="CM88" s="152"/>
      <c r="CN88" s="151">
        <f>41.5715261474584+2.42847385254158</f>
        <v>43.999999999999979</v>
      </c>
      <c r="CO88" s="152"/>
      <c r="CP88" s="151">
        <f>41.7795120770352+1.2204879229648</f>
        <v>43</v>
      </c>
      <c r="CQ88" s="152"/>
      <c r="CR88" s="168">
        <f>96.244689903111+4.75531009688905</f>
        <v>101.00000000000004</v>
      </c>
      <c r="CS88" s="169"/>
      <c r="CT88" s="168">
        <f>135.389770450885+5.61022954911491</f>
        <v>140.99999999999991</v>
      </c>
      <c r="CU88" s="169"/>
      <c r="CV88" s="168">
        <f>86.2471959605768+4.75280403942321</f>
        <v>91.000000000000014</v>
      </c>
      <c r="CW88" s="169"/>
      <c r="CX88" s="31"/>
      <c r="CY88" s="55"/>
      <c r="CZ88" s="31"/>
      <c r="DA88" s="55"/>
      <c r="DB88" s="67">
        <f>84.1302421088708+3.86975789112915</f>
        <v>87.999999999999957</v>
      </c>
      <c r="DC88" s="68"/>
      <c r="DD88" s="67">
        <f>160.382325260576+8.61767473942362</f>
        <v>168.99999999999963</v>
      </c>
      <c r="DE88" s="68"/>
      <c r="DF88" s="67">
        <f>112.631718067703+4.36828193229707</f>
        <v>117.00000000000007</v>
      </c>
      <c r="DG88" s="68"/>
    </row>
    <row r="89" spans="1:111" s="35" customFormat="1" outlineLevel="1" x14ac:dyDescent="0.2">
      <c r="A89" s="30"/>
      <c r="B89" s="33"/>
      <c r="C89" s="34" t="s">
        <v>167</v>
      </c>
      <c r="D89" s="69" t="s">
        <v>167</v>
      </c>
      <c r="E89" s="70"/>
      <c r="F89" s="69" t="s">
        <v>167</v>
      </c>
      <c r="G89" s="70"/>
      <c r="H89" s="85" t="s">
        <v>167</v>
      </c>
      <c r="I89" s="86"/>
      <c r="J89" s="85" t="s">
        <v>167</v>
      </c>
      <c r="K89" s="86"/>
      <c r="L89" s="133"/>
      <c r="M89" s="134"/>
      <c r="N89" s="133"/>
      <c r="O89" s="134"/>
      <c r="P89" s="101" t="s">
        <v>167</v>
      </c>
      <c r="Q89" s="102"/>
      <c r="R89" s="101" t="s">
        <v>167</v>
      </c>
      <c r="S89" s="102"/>
      <c r="T89" s="101" t="s">
        <v>167</v>
      </c>
      <c r="U89" s="102"/>
      <c r="V89" s="117" t="s">
        <v>167</v>
      </c>
      <c r="W89" s="118"/>
      <c r="X89" s="117" t="s">
        <v>167</v>
      </c>
      <c r="Y89" s="118"/>
      <c r="Z89" s="117" t="s">
        <v>167</v>
      </c>
      <c r="AA89" s="118"/>
      <c r="AB89" s="153" t="s">
        <v>167</v>
      </c>
      <c r="AC89" s="154"/>
      <c r="AD89" s="153" t="s">
        <v>167</v>
      </c>
      <c r="AE89" s="154"/>
      <c r="AF89" s="153" t="s">
        <v>167</v>
      </c>
      <c r="AG89" s="154"/>
      <c r="AH89" s="153" t="s">
        <v>167</v>
      </c>
      <c r="AI89" s="154"/>
      <c r="AJ89" s="170" t="s">
        <v>167</v>
      </c>
      <c r="AK89" s="171"/>
      <c r="AL89" s="170" t="s">
        <v>167</v>
      </c>
      <c r="AM89" s="171"/>
      <c r="AN89" s="34"/>
      <c r="AO89" s="56"/>
      <c r="AP89" s="34"/>
      <c r="AQ89" s="56"/>
      <c r="AR89" s="34"/>
      <c r="AS89" s="56"/>
      <c r="AT89" s="34"/>
      <c r="AU89" s="56"/>
      <c r="AV89" s="34"/>
      <c r="AW89" s="56"/>
      <c r="AX89" s="34"/>
      <c r="AY89" s="56"/>
      <c r="AZ89" s="34"/>
      <c r="BA89" s="56"/>
      <c r="BB89" s="34"/>
      <c r="BC89" s="56"/>
      <c r="BD89" s="69" t="s">
        <v>167</v>
      </c>
      <c r="BE89" s="70"/>
      <c r="BF89" s="69" t="s">
        <v>167</v>
      </c>
      <c r="BG89" s="70"/>
      <c r="BH89" s="69" t="s">
        <v>167</v>
      </c>
      <c r="BI89" s="70"/>
      <c r="BJ89" s="69" t="s">
        <v>167</v>
      </c>
      <c r="BK89" s="70"/>
      <c r="BL89" s="85" t="s">
        <v>167</v>
      </c>
      <c r="BM89" s="86"/>
      <c r="BN89" s="85" t="s">
        <v>167</v>
      </c>
      <c r="BO89" s="86"/>
      <c r="BP89" s="101" t="s">
        <v>167</v>
      </c>
      <c r="BQ89" s="102"/>
      <c r="BR89" s="101" t="s">
        <v>167</v>
      </c>
      <c r="BS89" s="102"/>
      <c r="BT89" s="117" t="s">
        <v>167</v>
      </c>
      <c r="BU89" s="118"/>
      <c r="BV89" s="117" t="s">
        <v>167</v>
      </c>
      <c r="BW89" s="118"/>
      <c r="BX89" s="34"/>
      <c r="BY89" s="56"/>
      <c r="BZ89" s="34"/>
      <c r="CA89" s="56"/>
      <c r="CB89" s="34"/>
      <c r="CC89" s="56"/>
      <c r="CD89" s="34"/>
      <c r="CE89" s="56"/>
      <c r="CF89" s="34"/>
      <c r="CG89" s="56"/>
      <c r="CH89" s="34"/>
      <c r="CI89" s="56"/>
      <c r="CJ89" s="34"/>
      <c r="CK89" s="56"/>
      <c r="CL89" s="153" t="s">
        <v>167</v>
      </c>
      <c r="CM89" s="154"/>
      <c r="CN89" s="153" t="s">
        <v>167</v>
      </c>
      <c r="CO89" s="154"/>
      <c r="CP89" s="153" t="s">
        <v>167</v>
      </c>
      <c r="CQ89" s="154"/>
      <c r="CR89" s="170" t="s">
        <v>167</v>
      </c>
      <c r="CS89" s="171"/>
      <c r="CT89" s="170" t="s">
        <v>167</v>
      </c>
      <c r="CU89" s="171"/>
      <c r="CV89" s="170" t="s">
        <v>167</v>
      </c>
      <c r="CW89" s="171"/>
      <c r="CX89" s="34"/>
      <c r="CY89" s="56"/>
      <c r="CZ89" s="34"/>
      <c r="DA89" s="56"/>
      <c r="DB89" s="69" t="s">
        <v>167</v>
      </c>
      <c r="DC89" s="70"/>
      <c r="DD89" s="69" t="s">
        <v>167</v>
      </c>
      <c r="DE89" s="70"/>
      <c r="DF89" s="69" t="s">
        <v>167</v>
      </c>
      <c r="DG89" s="70"/>
    </row>
    <row r="90" spans="1:111" outlineLevel="1" x14ac:dyDescent="0.2">
      <c r="A90" s="30"/>
      <c r="B90" s="30"/>
      <c r="E90" s="66"/>
      <c r="G90" s="66"/>
      <c r="I90" s="82"/>
      <c r="K90" s="82"/>
      <c r="M90" s="130"/>
      <c r="O90" s="130"/>
      <c r="Q90" s="98"/>
      <c r="S90" s="98"/>
      <c r="U90" s="98"/>
      <c r="W90" s="114"/>
      <c r="Y90" s="114"/>
      <c r="AA90" s="114"/>
      <c r="AC90" s="150"/>
      <c r="AE90" s="150"/>
      <c r="AG90" s="150"/>
      <c r="AI90" s="150"/>
      <c r="AK90" s="167"/>
      <c r="AM90" s="167"/>
      <c r="AO90" s="54"/>
      <c r="AQ90" s="54"/>
      <c r="AS90" s="54"/>
      <c r="AU90" s="54"/>
      <c r="AW90" s="54"/>
      <c r="AY90" s="54"/>
      <c r="BA90" s="54"/>
      <c r="BC90" s="54"/>
      <c r="BE90" s="66"/>
      <c r="BG90" s="66"/>
      <c r="BI90" s="66"/>
      <c r="BK90" s="66"/>
      <c r="BM90" s="82"/>
      <c r="BO90" s="82"/>
      <c r="BQ90" s="98"/>
      <c r="BS90" s="98"/>
      <c r="BU90" s="114"/>
      <c r="BW90" s="114"/>
      <c r="BY90" s="54"/>
      <c r="CA90" s="54"/>
      <c r="CC90" s="54"/>
      <c r="CE90" s="54"/>
      <c r="CG90" s="54"/>
      <c r="CI90" s="54"/>
      <c r="CK90" s="54"/>
      <c r="CM90" s="150"/>
      <c r="CO90" s="150"/>
      <c r="CQ90" s="150"/>
      <c r="CS90" s="167"/>
      <c r="CU90" s="167"/>
      <c r="CW90" s="167"/>
      <c r="CY90" s="54"/>
      <c r="DA90" s="54"/>
      <c r="DC90" s="66"/>
      <c r="DE90" s="66"/>
      <c r="DG90" s="66"/>
    </row>
    <row r="91" spans="1:111" outlineLevel="1" x14ac:dyDescent="0.2">
      <c r="A91" s="30"/>
      <c r="B91" s="32" t="s">
        <v>101</v>
      </c>
      <c r="C91" s="38">
        <v>34.655240461592967</v>
      </c>
      <c r="D91" s="72">
        <v>61.717946196305761</v>
      </c>
      <c r="E91" s="68" t="s">
        <v>175</v>
      </c>
      <c r="F91" s="72">
        <v>0</v>
      </c>
      <c r="G91" s="68"/>
      <c r="H91" s="88">
        <v>59.0738855998815</v>
      </c>
      <c r="I91" s="84" t="s">
        <v>177</v>
      </c>
      <c r="J91" s="88">
        <v>0</v>
      </c>
      <c r="K91" s="84"/>
      <c r="L91" s="136"/>
      <c r="M91" s="132"/>
      <c r="N91" s="136"/>
      <c r="O91" s="132"/>
      <c r="P91" s="104">
        <v>0</v>
      </c>
      <c r="Q91" s="100"/>
      <c r="R91" s="104">
        <v>0</v>
      </c>
      <c r="S91" s="100"/>
      <c r="T91" s="104">
        <v>0</v>
      </c>
      <c r="U91" s="100"/>
      <c r="V91" s="120">
        <v>0</v>
      </c>
      <c r="W91" s="116"/>
      <c r="X91" s="120">
        <v>0</v>
      </c>
      <c r="Y91" s="116"/>
      <c r="Z91" s="120">
        <v>0</v>
      </c>
      <c r="AA91" s="116"/>
      <c r="AB91" s="156">
        <v>16.234100185991934</v>
      </c>
      <c r="AC91" s="152"/>
      <c r="AD91" s="156">
        <v>21.288983371840313</v>
      </c>
      <c r="AE91" s="152"/>
      <c r="AF91" s="156">
        <v>31.853888055044944</v>
      </c>
      <c r="AG91" s="152" t="s">
        <v>170</v>
      </c>
      <c r="AH91" s="156">
        <v>65.198652249196769</v>
      </c>
      <c r="AI91" s="152" t="s">
        <v>241</v>
      </c>
      <c r="AJ91" s="173">
        <v>36.927280217243101</v>
      </c>
      <c r="AK91" s="169"/>
      <c r="AL91" s="173">
        <v>31.985078467311283</v>
      </c>
      <c r="AM91" s="169"/>
      <c r="AN91" s="38"/>
      <c r="AO91" s="55"/>
      <c r="AP91" s="38"/>
      <c r="AQ91" s="55"/>
      <c r="AR91" s="38"/>
      <c r="AS91" s="55"/>
      <c r="AT91" s="38"/>
      <c r="AU91" s="55"/>
      <c r="AV91" s="38"/>
      <c r="AW91" s="55"/>
      <c r="AX91" s="38"/>
      <c r="AY91" s="55"/>
      <c r="AZ91" s="38"/>
      <c r="BA91" s="55"/>
      <c r="BB91" s="38"/>
      <c r="BC91" s="55"/>
      <c r="BD91" s="72">
        <v>44.745793756705126</v>
      </c>
      <c r="BE91" s="68" t="s">
        <v>192</v>
      </c>
      <c r="BF91" s="72">
        <v>27.186314382183966</v>
      </c>
      <c r="BG91" s="68"/>
      <c r="BH91" s="72">
        <v>36.515027069476041</v>
      </c>
      <c r="BI91" s="68"/>
      <c r="BJ91" s="72">
        <v>35.696596293661607</v>
      </c>
      <c r="BK91" s="68"/>
      <c r="BL91" s="88">
        <v>32.696440420555199</v>
      </c>
      <c r="BM91" s="84"/>
      <c r="BN91" s="88">
        <v>37.784365030381529</v>
      </c>
      <c r="BO91" s="84"/>
      <c r="BP91" s="104">
        <v>20.339545321494779</v>
      </c>
      <c r="BQ91" s="100"/>
      <c r="BR91" s="104">
        <v>42.413173364724429</v>
      </c>
      <c r="BS91" s="100" t="s">
        <v>197</v>
      </c>
      <c r="BT91" s="120">
        <v>43.741842082236872</v>
      </c>
      <c r="BU91" s="116" t="s">
        <v>200</v>
      </c>
      <c r="BV91" s="120">
        <v>29.460702686385272</v>
      </c>
      <c r="BW91" s="116"/>
      <c r="BX91" s="38"/>
      <c r="BY91" s="55"/>
      <c r="BZ91" s="38"/>
      <c r="CA91" s="55"/>
      <c r="CB91" s="38"/>
      <c r="CC91" s="55"/>
      <c r="CD91" s="38"/>
      <c r="CE91" s="55"/>
      <c r="CF91" s="38"/>
      <c r="CG91" s="55"/>
      <c r="CH91" s="38"/>
      <c r="CI91" s="55"/>
      <c r="CJ91" s="38"/>
      <c r="CK91" s="55"/>
      <c r="CL91" s="156">
        <v>36.188876552766828</v>
      </c>
      <c r="CM91" s="152"/>
      <c r="CN91" s="156">
        <v>24.34454930005592</v>
      </c>
      <c r="CO91" s="152"/>
      <c r="CP91" s="156">
        <v>42.104901734923537</v>
      </c>
      <c r="CQ91" s="152"/>
      <c r="CR91" s="173">
        <v>49.019218150930847</v>
      </c>
      <c r="CS91" s="169" t="s">
        <v>243</v>
      </c>
      <c r="CT91" s="173">
        <v>29.839901884514635</v>
      </c>
      <c r="CU91" s="169"/>
      <c r="CV91" s="173">
        <v>33.697086731220743</v>
      </c>
      <c r="CW91" s="169"/>
      <c r="CX91" s="38"/>
      <c r="CY91" s="55"/>
      <c r="CZ91" s="38"/>
      <c r="DA91" s="55"/>
      <c r="DB91" s="72">
        <v>38.509966611170242</v>
      </c>
      <c r="DC91" s="68"/>
      <c r="DD91" s="72">
        <v>33.770907442454991</v>
      </c>
      <c r="DE91" s="68"/>
      <c r="DF91" s="72">
        <v>32.827743618408796</v>
      </c>
      <c r="DG91" s="68"/>
    </row>
    <row r="92" spans="1:111" outlineLevel="1" x14ac:dyDescent="0.2">
      <c r="A92" s="30"/>
      <c r="B92" s="275" t="s">
        <v>102</v>
      </c>
      <c r="C92" s="38">
        <v>17.602688962940704</v>
      </c>
      <c r="D92" s="72">
        <v>11.465671178346732</v>
      </c>
      <c r="E92" s="68"/>
      <c r="F92" s="72">
        <v>25.461468093416805</v>
      </c>
      <c r="G92" s="68" t="s">
        <v>174</v>
      </c>
      <c r="H92" s="88">
        <v>12.334637787111232</v>
      </c>
      <c r="I92" s="84"/>
      <c r="J92" s="88">
        <v>25.079171758297946</v>
      </c>
      <c r="K92" s="84" t="s">
        <v>176</v>
      </c>
      <c r="L92" s="136"/>
      <c r="M92" s="132"/>
      <c r="N92" s="136"/>
      <c r="O92" s="132"/>
      <c r="P92" s="104">
        <v>23.855933235372913</v>
      </c>
      <c r="Q92" s="100"/>
      <c r="R92" s="104">
        <v>20.894610900812914</v>
      </c>
      <c r="S92" s="100"/>
      <c r="T92" s="104">
        <v>26.267496595102507</v>
      </c>
      <c r="U92" s="100"/>
      <c r="V92" s="120">
        <v>25.411189899688686</v>
      </c>
      <c r="W92" s="116"/>
      <c r="X92" s="120">
        <v>18.08656317246443</v>
      </c>
      <c r="Y92" s="116"/>
      <c r="Z92" s="120">
        <v>26.658557994978818</v>
      </c>
      <c r="AA92" s="116"/>
      <c r="AB92" s="156">
        <v>24.752281209821373</v>
      </c>
      <c r="AC92" s="152" t="s">
        <v>173</v>
      </c>
      <c r="AD92" s="156">
        <v>21.619244056318323</v>
      </c>
      <c r="AE92" s="152" t="s">
        <v>173</v>
      </c>
      <c r="AF92" s="156">
        <v>17.584026173330859</v>
      </c>
      <c r="AG92" s="152" t="s">
        <v>173</v>
      </c>
      <c r="AH92" s="156">
        <v>7.6684471218335428</v>
      </c>
      <c r="AI92" s="152"/>
      <c r="AJ92" s="173">
        <v>19.128724008081246</v>
      </c>
      <c r="AK92" s="169"/>
      <c r="AL92" s="173">
        <v>15.809251691720842</v>
      </c>
      <c r="AM92" s="169"/>
      <c r="AN92" s="38"/>
      <c r="AO92" s="55"/>
      <c r="AP92" s="38"/>
      <c r="AQ92" s="55"/>
      <c r="AR92" s="38"/>
      <c r="AS92" s="55"/>
      <c r="AT92" s="38"/>
      <c r="AU92" s="55"/>
      <c r="AV92" s="38"/>
      <c r="AW92" s="55"/>
      <c r="AX92" s="38"/>
      <c r="AY92" s="55"/>
      <c r="AZ92" s="38"/>
      <c r="BA92" s="55"/>
      <c r="BB92" s="38"/>
      <c r="BC92" s="55"/>
      <c r="BD92" s="72">
        <v>16.261814840981181</v>
      </c>
      <c r="BE92" s="68"/>
      <c r="BF92" s="72">
        <v>25.383191678142275</v>
      </c>
      <c r="BG92" s="68" t="s">
        <v>258</v>
      </c>
      <c r="BH92" s="72">
        <v>11.486851702512856</v>
      </c>
      <c r="BI92" s="68"/>
      <c r="BJ92" s="72">
        <v>12.966155849479739</v>
      </c>
      <c r="BK92" s="68"/>
      <c r="BL92" s="88">
        <v>17.134557286841471</v>
      </c>
      <c r="BM92" s="84"/>
      <c r="BN92" s="88">
        <v>18.108688776386995</v>
      </c>
      <c r="BO92" s="84"/>
      <c r="BP92" s="104">
        <v>20.826294824097367</v>
      </c>
      <c r="BQ92" s="100"/>
      <c r="BR92" s="104">
        <v>15.930256955004253</v>
      </c>
      <c r="BS92" s="100"/>
      <c r="BT92" s="120">
        <v>12.646625577878872</v>
      </c>
      <c r="BU92" s="116"/>
      <c r="BV92" s="120">
        <v>20.757629978971572</v>
      </c>
      <c r="BW92" s="116"/>
      <c r="BX92" s="38"/>
      <c r="BY92" s="55"/>
      <c r="BZ92" s="38"/>
      <c r="CA92" s="55"/>
      <c r="CB92" s="38"/>
      <c r="CC92" s="55"/>
      <c r="CD92" s="38"/>
      <c r="CE92" s="55"/>
      <c r="CF92" s="38"/>
      <c r="CG92" s="55"/>
      <c r="CH92" s="38"/>
      <c r="CI92" s="55"/>
      <c r="CJ92" s="38"/>
      <c r="CK92" s="55"/>
      <c r="CL92" s="156">
        <v>17.012442075022769</v>
      </c>
      <c r="CM92" s="152"/>
      <c r="CN92" s="156">
        <v>25.695245299480465</v>
      </c>
      <c r="CO92" s="152"/>
      <c r="CP92" s="156">
        <v>19.369251625937018</v>
      </c>
      <c r="CQ92" s="152"/>
      <c r="CR92" s="173">
        <v>14.944876274976455</v>
      </c>
      <c r="CS92" s="169"/>
      <c r="CT92" s="173">
        <v>18.315402579908906</v>
      </c>
      <c r="CU92" s="169"/>
      <c r="CV92" s="173">
        <v>15.517289284672346</v>
      </c>
      <c r="CW92" s="169"/>
      <c r="CX92" s="38"/>
      <c r="CY92" s="55"/>
      <c r="CZ92" s="38"/>
      <c r="DA92" s="55"/>
      <c r="DB92" s="72">
        <v>16.427508938562731</v>
      </c>
      <c r="DC92" s="68"/>
      <c r="DD92" s="72">
        <v>19.226796206934136</v>
      </c>
      <c r="DE92" s="68"/>
      <c r="DF92" s="72">
        <v>16.122228433016584</v>
      </c>
      <c r="DG92" s="68"/>
    </row>
    <row r="93" spans="1:111" outlineLevel="1" x14ac:dyDescent="0.2">
      <c r="A93" s="30"/>
      <c r="B93" s="32" t="s">
        <v>103</v>
      </c>
      <c r="C93" s="38">
        <v>12.374448909479877</v>
      </c>
      <c r="D93" s="72">
        <v>8.9762681268848237</v>
      </c>
      <c r="E93" s="68"/>
      <c r="F93" s="72">
        <v>16.726000942273899</v>
      </c>
      <c r="G93" s="68" t="s">
        <v>174</v>
      </c>
      <c r="H93" s="88">
        <v>8.5917155239556013</v>
      </c>
      <c r="I93" s="84"/>
      <c r="J93" s="88">
        <v>17.742950492390694</v>
      </c>
      <c r="K93" s="84" t="s">
        <v>176</v>
      </c>
      <c r="L93" s="136"/>
      <c r="M93" s="132"/>
      <c r="N93" s="136"/>
      <c r="O93" s="132"/>
      <c r="P93" s="104">
        <v>22.121465509543022</v>
      </c>
      <c r="Q93" s="100"/>
      <c r="R93" s="104">
        <v>19.94411058120718</v>
      </c>
      <c r="S93" s="100"/>
      <c r="T93" s="104">
        <v>13.859445177471597</v>
      </c>
      <c r="U93" s="100"/>
      <c r="V93" s="120">
        <v>23.56364579730197</v>
      </c>
      <c r="W93" s="116"/>
      <c r="X93" s="120">
        <v>22.491900278968057</v>
      </c>
      <c r="Y93" s="116"/>
      <c r="Z93" s="120">
        <v>14.065779801442636</v>
      </c>
      <c r="AA93" s="116"/>
      <c r="AB93" s="156">
        <v>9.9681691652831699</v>
      </c>
      <c r="AC93" s="152"/>
      <c r="AD93" s="156">
        <v>14.782197560570495</v>
      </c>
      <c r="AE93" s="152"/>
      <c r="AF93" s="156">
        <v>16.207228021653709</v>
      </c>
      <c r="AG93" s="152"/>
      <c r="AH93" s="156">
        <v>9.3954339098969282</v>
      </c>
      <c r="AI93" s="152"/>
      <c r="AJ93" s="173">
        <v>13.552686328813662</v>
      </c>
      <c r="AK93" s="169"/>
      <c r="AL93" s="173">
        <v>10.989752726447918</v>
      </c>
      <c r="AM93" s="169"/>
      <c r="AN93" s="38"/>
      <c r="AO93" s="55"/>
      <c r="AP93" s="38"/>
      <c r="AQ93" s="55"/>
      <c r="AR93" s="38"/>
      <c r="AS93" s="55"/>
      <c r="AT93" s="38"/>
      <c r="AU93" s="55"/>
      <c r="AV93" s="38"/>
      <c r="AW93" s="55"/>
      <c r="AX93" s="38"/>
      <c r="AY93" s="55"/>
      <c r="AZ93" s="38"/>
      <c r="BA93" s="55"/>
      <c r="BB93" s="38"/>
      <c r="BC93" s="55"/>
      <c r="BD93" s="72">
        <v>7.9087840489834358</v>
      </c>
      <c r="BE93" s="68"/>
      <c r="BF93" s="72">
        <v>13.901533248487427</v>
      </c>
      <c r="BG93" s="68"/>
      <c r="BH93" s="72">
        <v>13.02938314895605</v>
      </c>
      <c r="BI93" s="68"/>
      <c r="BJ93" s="72">
        <v>13.149784781586467</v>
      </c>
      <c r="BK93" s="68"/>
      <c r="BL93" s="88">
        <v>13.660284012536207</v>
      </c>
      <c r="BM93" s="84"/>
      <c r="BN93" s="88">
        <v>10.604079891352683</v>
      </c>
      <c r="BO93" s="84"/>
      <c r="BP93" s="104">
        <v>14.258867248978691</v>
      </c>
      <c r="BQ93" s="100"/>
      <c r="BR93" s="104">
        <v>11.293644197094876</v>
      </c>
      <c r="BS93" s="100"/>
      <c r="BT93" s="120">
        <v>9.8543669311187916</v>
      </c>
      <c r="BU93" s="116"/>
      <c r="BV93" s="120">
        <v>14.239003699454438</v>
      </c>
      <c r="BW93" s="116"/>
      <c r="BX93" s="38"/>
      <c r="BY93" s="55"/>
      <c r="BZ93" s="38"/>
      <c r="CA93" s="55"/>
      <c r="CB93" s="38"/>
      <c r="CC93" s="55"/>
      <c r="CD93" s="38"/>
      <c r="CE93" s="55"/>
      <c r="CF93" s="38"/>
      <c r="CG93" s="55"/>
      <c r="CH93" s="38"/>
      <c r="CI93" s="55"/>
      <c r="CJ93" s="38"/>
      <c r="CK93" s="55"/>
      <c r="CL93" s="156">
        <v>12.571509350250357</v>
      </c>
      <c r="CM93" s="152"/>
      <c r="CN93" s="156">
        <v>11.914943974308699</v>
      </c>
      <c r="CO93" s="152"/>
      <c r="CP93" s="156">
        <v>8.8835084796824333</v>
      </c>
      <c r="CQ93" s="152"/>
      <c r="CR93" s="173">
        <v>12.238375780116309</v>
      </c>
      <c r="CS93" s="169"/>
      <c r="CT93" s="173">
        <v>11.955789666080197</v>
      </c>
      <c r="CU93" s="169"/>
      <c r="CV93" s="173">
        <v>14.446289067022317</v>
      </c>
      <c r="CW93" s="169"/>
      <c r="CX93" s="38"/>
      <c r="CY93" s="55"/>
      <c r="CZ93" s="38"/>
      <c r="DA93" s="55"/>
      <c r="DB93" s="72">
        <v>10.253645932840234</v>
      </c>
      <c r="DC93" s="68"/>
      <c r="DD93" s="72">
        <v>12.753230249402998</v>
      </c>
      <c r="DE93" s="68"/>
      <c r="DF93" s="72">
        <v>13.542016023849451</v>
      </c>
      <c r="DG93" s="68"/>
    </row>
    <row r="94" spans="1:111" outlineLevel="1" x14ac:dyDescent="0.2">
      <c r="A94" s="30"/>
      <c r="B94" s="32" t="s">
        <v>104</v>
      </c>
      <c r="C94" s="38">
        <v>10.480783030672701</v>
      </c>
      <c r="D94" s="72">
        <v>7.1509122286614577</v>
      </c>
      <c r="E94" s="68"/>
      <c r="F94" s="72">
        <v>14.744860484011708</v>
      </c>
      <c r="G94" s="68" t="s">
        <v>174</v>
      </c>
      <c r="H94" s="88">
        <v>8.2458202529589126</v>
      </c>
      <c r="I94" s="84"/>
      <c r="J94" s="88">
        <v>13.65266959709543</v>
      </c>
      <c r="K94" s="84"/>
      <c r="L94" s="136"/>
      <c r="M94" s="132"/>
      <c r="N94" s="136"/>
      <c r="O94" s="132"/>
      <c r="P94" s="104">
        <v>7.9713262812654753</v>
      </c>
      <c r="Q94" s="100"/>
      <c r="R94" s="104">
        <v>14.001820208112044</v>
      </c>
      <c r="S94" s="100"/>
      <c r="T94" s="104">
        <v>13.094589932621453</v>
      </c>
      <c r="U94" s="100"/>
      <c r="V94" s="120">
        <v>8.4910065721203729</v>
      </c>
      <c r="W94" s="116"/>
      <c r="X94" s="120">
        <v>10.587923175251433</v>
      </c>
      <c r="Y94" s="116"/>
      <c r="Z94" s="120">
        <v>13.289537656372636</v>
      </c>
      <c r="AA94" s="116"/>
      <c r="AB94" s="156">
        <v>15.285291657824768</v>
      </c>
      <c r="AC94" s="152" t="s">
        <v>173</v>
      </c>
      <c r="AD94" s="156">
        <v>13.499735035666925</v>
      </c>
      <c r="AE94" s="152" t="s">
        <v>173</v>
      </c>
      <c r="AF94" s="156">
        <v>12.183921614921497</v>
      </c>
      <c r="AG94" s="152" t="s">
        <v>173</v>
      </c>
      <c r="AH94" s="156">
        <v>2.4710696154429295</v>
      </c>
      <c r="AI94" s="152"/>
      <c r="AJ94" s="173">
        <v>9.2199648650583743</v>
      </c>
      <c r="AK94" s="169"/>
      <c r="AL94" s="173">
        <v>11.962530319271533</v>
      </c>
      <c r="AM94" s="169"/>
      <c r="AN94" s="38"/>
      <c r="AO94" s="55"/>
      <c r="AP94" s="38"/>
      <c r="AQ94" s="55"/>
      <c r="AR94" s="38"/>
      <c r="AS94" s="55"/>
      <c r="AT94" s="38"/>
      <c r="AU94" s="55"/>
      <c r="AV94" s="38"/>
      <c r="AW94" s="55"/>
      <c r="AX94" s="38"/>
      <c r="AY94" s="55"/>
      <c r="AZ94" s="38"/>
      <c r="BA94" s="55"/>
      <c r="BB94" s="38"/>
      <c r="BC94" s="55"/>
      <c r="BD94" s="72">
        <v>8.0573508589836393</v>
      </c>
      <c r="BE94" s="68"/>
      <c r="BF94" s="72">
        <v>10.845555024711034</v>
      </c>
      <c r="BG94" s="68"/>
      <c r="BH94" s="72">
        <v>14.163853271883903</v>
      </c>
      <c r="BI94" s="68"/>
      <c r="BJ94" s="72">
        <v>8.369283449282003</v>
      </c>
      <c r="BK94" s="68"/>
      <c r="BL94" s="88">
        <v>9.8782011589181113</v>
      </c>
      <c r="BM94" s="84"/>
      <c r="BN94" s="88">
        <v>11.966317191592537</v>
      </c>
      <c r="BO94" s="84"/>
      <c r="BP94" s="104">
        <v>12.703593563741107</v>
      </c>
      <c r="BQ94" s="100"/>
      <c r="BR94" s="104">
        <v>9.1584880012903707</v>
      </c>
      <c r="BS94" s="100"/>
      <c r="BT94" s="120">
        <v>12.561078172105761</v>
      </c>
      <c r="BU94" s="116"/>
      <c r="BV94" s="120">
        <v>8.898146726829653</v>
      </c>
      <c r="BW94" s="116"/>
      <c r="BX94" s="38"/>
      <c r="BY94" s="55"/>
      <c r="BZ94" s="38"/>
      <c r="CA94" s="55"/>
      <c r="CB94" s="38"/>
      <c r="CC94" s="55"/>
      <c r="CD94" s="38"/>
      <c r="CE94" s="55"/>
      <c r="CF94" s="38"/>
      <c r="CG94" s="55"/>
      <c r="CH94" s="38"/>
      <c r="CI94" s="55"/>
      <c r="CJ94" s="38"/>
      <c r="CK94" s="55"/>
      <c r="CL94" s="156">
        <v>9.6103296783120769</v>
      </c>
      <c r="CM94" s="152"/>
      <c r="CN94" s="156">
        <v>12.363010281625105</v>
      </c>
      <c r="CO94" s="152"/>
      <c r="CP94" s="156">
        <v>7.4815254567686829</v>
      </c>
      <c r="CQ94" s="152"/>
      <c r="CR94" s="173">
        <v>3.8591101705494792</v>
      </c>
      <c r="CS94" s="169"/>
      <c r="CT94" s="173">
        <v>11.571959675579951</v>
      </c>
      <c r="CU94" s="169" t="s">
        <v>48</v>
      </c>
      <c r="CV94" s="173">
        <v>11.618922586052802</v>
      </c>
      <c r="CW94" s="169" t="s">
        <v>48</v>
      </c>
      <c r="CX94" s="38"/>
      <c r="CY94" s="55"/>
      <c r="CZ94" s="38"/>
      <c r="DA94" s="55"/>
      <c r="DB94" s="72">
        <v>11.202088848858683</v>
      </c>
      <c r="DC94" s="68"/>
      <c r="DD94" s="72">
        <v>12.20001288136265</v>
      </c>
      <c r="DE94" s="68"/>
      <c r="DF94" s="72">
        <v>7.3036146823178685</v>
      </c>
      <c r="DG94" s="68"/>
    </row>
    <row r="95" spans="1:111" outlineLevel="1" x14ac:dyDescent="0.2">
      <c r="A95" s="30"/>
      <c r="B95" s="32" t="s">
        <v>105</v>
      </c>
      <c r="C95" s="38">
        <v>5.0868794485282578</v>
      </c>
      <c r="D95" s="72">
        <v>2.4361375039874282</v>
      </c>
      <c r="E95" s="68"/>
      <c r="F95" s="72">
        <v>8.4812961188415787</v>
      </c>
      <c r="G95" s="68" t="s">
        <v>174</v>
      </c>
      <c r="H95" s="88">
        <v>2.6686830750705983</v>
      </c>
      <c r="I95" s="84"/>
      <c r="J95" s="88">
        <v>8.5188133797898065</v>
      </c>
      <c r="K95" s="84" t="s">
        <v>176</v>
      </c>
      <c r="L95" s="136"/>
      <c r="M95" s="132"/>
      <c r="N95" s="136"/>
      <c r="O95" s="132"/>
      <c r="P95" s="104">
        <v>20.02289351269291</v>
      </c>
      <c r="Q95" s="100"/>
      <c r="R95" s="104">
        <v>4.6833526997773447</v>
      </c>
      <c r="S95" s="100"/>
      <c r="T95" s="104">
        <v>6.8001484584357259</v>
      </c>
      <c r="U95" s="100"/>
      <c r="V95" s="120">
        <v>18.279574541681079</v>
      </c>
      <c r="W95" s="116"/>
      <c r="X95" s="120">
        <v>5.2816344687681722</v>
      </c>
      <c r="Y95" s="116"/>
      <c r="Z95" s="120">
        <v>6.9013867156063169</v>
      </c>
      <c r="AA95" s="116"/>
      <c r="AB95" s="156">
        <v>9.9142439864687741</v>
      </c>
      <c r="AC95" s="152" t="s">
        <v>173</v>
      </c>
      <c r="AD95" s="156">
        <v>5.7059168337157669</v>
      </c>
      <c r="AE95" s="152"/>
      <c r="AF95" s="156">
        <v>2.6083950284162776</v>
      </c>
      <c r="AG95" s="152"/>
      <c r="AH95" s="156">
        <v>2.0912542020641176</v>
      </c>
      <c r="AI95" s="152"/>
      <c r="AJ95" s="173">
        <v>5.6100208257022581</v>
      </c>
      <c r="AK95" s="169"/>
      <c r="AL95" s="173">
        <v>4.4720696858502755</v>
      </c>
      <c r="AM95" s="169"/>
      <c r="AN95" s="38"/>
      <c r="AO95" s="55"/>
      <c r="AP95" s="38"/>
      <c r="AQ95" s="55"/>
      <c r="AR95" s="38"/>
      <c r="AS95" s="55"/>
      <c r="AT95" s="38"/>
      <c r="AU95" s="55"/>
      <c r="AV95" s="38"/>
      <c r="AW95" s="55"/>
      <c r="AX95" s="38"/>
      <c r="AY95" s="55"/>
      <c r="AZ95" s="38"/>
      <c r="BA95" s="55"/>
      <c r="BB95" s="38"/>
      <c r="BC95" s="55"/>
      <c r="BD95" s="72">
        <v>4.2954996758278021</v>
      </c>
      <c r="BE95" s="68"/>
      <c r="BF95" s="72">
        <v>4.7493365558718317</v>
      </c>
      <c r="BG95" s="68"/>
      <c r="BH95" s="72">
        <v>4.498366636389278</v>
      </c>
      <c r="BI95" s="68"/>
      <c r="BJ95" s="72">
        <v>6.8211577183231054</v>
      </c>
      <c r="BK95" s="68"/>
      <c r="BL95" s="88">
        <v>5.3616195080853464</v>
      </c>
      <c r="BM95" s="84"/>
      <c r="BN95" s="88">
        <v>4.8203888916007624</v>
      </c>
      <c r="BO95" s="84"/>
      <c r="BP95" s="104">
        <v>7.2527118234228576</v>
      </c>
      <c r="BQ95" s="100"/>
      <c r="BR95" s="104">
        <v>4.0851832416837643</v>
      </c>
      <c r="BS95" s="100"/>
      <c r="BT95" s="120">
        <v>4.07445733802217</v>
      </c>
      <c r="BU95" s="116"/>
      <c r="BV95" s="120">
        <v>5.8381767461131</v>
      </c>
      <c r="BW95" s="116"/>
      <c r="BX95" s="38"/>
      <c r="BY95" s="55"/>
      <c r="BZ95" s="38"/>
      <c r="CA95" s="55"/>
      <c r="CB95" s="38"/>
      <c r="CC95" s="55"/>
      <c r="CD95" s="38"/>
      <c r="CE95" s="55"/>
      <c r="CF95" s="38"/>
      <c r="CG95" s="55"/>
      <c r="CH95" s="38"/>
      <c r="CI95" s="55"/>
      <c r="CJ95" s="38"/>
      <c r="CK95" s="55"/>
      <c r="CL95" s="156">
        <v>5.1493497660924072</v>
      </c>
      <c r="CM95" s="152"/>
      <c r="CN95" s="156">
        <v>3.4376500998925663</v>
      </c>
      <c r="CO95" s="152"/>
      <c r="CP95" s="156">
        <v>7.6306066029878261</v>
      </c>
      <c r="CQ95" s="152"/>
      <c r="CR95" s="173">
        <v>6.7586610512607193</v>
      </c>
      <c r="CS95" s="169"/>
      <c r="CT95" s="173">
        <v>5.5328194609024077</v>
      </c>
      <c r="CU95" s="169"/>
      <c r="CV95" s="173">
        <v>2.2817363841384068</v>
      </c>
      <c r="CW95" s="169"/>
      <c r="CX95" s="38"/>
      <c r="CY95" s="55"/>
      <c r="CZ95" s="38"/>
      <c r="DA95" s="55"/>
      <c r="DB95" s="72">
        <v>6.6924361108836665</v>
      </c>
      <c r="DC95" s="68"/>
      <c r="DD95" s="72">
        <v>3.0483001555672256</v>
      </c>
      <c r="DE95" s="68"/>
      <c r="DF95" s="72">
        <v>6.8382709148500096</v>
      </c>
      <c r="DG95" s="68"/>
    </row>
    <row r="96" spans="1:111" outlineLevel="1" x14ac:dyDescent="0.2">
      <c r="A96" s="30"/>
      <c r="B96" s="275" t="s">
        <v>106</v>
      </c>
      <c r="C96" s="38">
        <v>15.556029591823005</v>
      </c>
      <c r="D96" s="72">
        <v>5.5030748747860274</v>
      </c>
      <c r="E96" s="68"/>
      <c r="F96" s="72">
        <v>28.429375165009802</v>
      </c>
      <c r="G96" s="68" t="s">
        <v>174</v>
      </c>
      <c r="H96" s="88">
        <v>6.4530802788568593</v>
      </c>
      <c r="I96" s="84"/>
      <c r="J96" s="88">
        <v>28.475046824924288</v>
      </c>
      <c r="K96" s="84" t="s">
        <v>176</v>
      </c>
      <c r="L96" s="136"/>
      <c r="M96" s="132"/>
      <c r="N96" s="136"/>
      <c r="O96" s="132"/>
      <c r="P96" s="104">
        <v>23.221084762824834</v>
      </c>
      <c r="Q96" s="100"/>
      <c r="R96" s="104">
        <v>34.76122243846104</v>
      </c>
      <c r="S96" s="100"/>
      <c r="T96" s="104">
        <v>32.50553040373174</v>
      </c>
      <c r="U96" s="100"/>
      <c r="V96" s="120">
        <v>21.264268419232099</v>
      </c>
      <c r="W96" s="116"/>
      <c r="X96" s="120">
        <v>37.107039588810188</v>
      </c>
      <c r="Y96" s="116"/>
      <c r="Z96" s="120">
        <v>31.500696095724361</v>
      </c>
      <c r="AA96" s="116"/>
      <c r="AB96" s="156">
        <v>18.579720637615306</v>
      </c>
      <c r="AC96" s="152"/>
      <c r="AD96" s="156">
        <v>20.288710058713988</v>
      </c>
      <c r="AE96" s="152" t="s">
        <v>173</v>
      </c>
      <c r="AF96" s="156">
        <v>13.208425384083512</v>
      </c>
      <c r="AG96" s="152"/>
      <c r="AH96" s="156">
        <v>9.3604750541524258</v>
      </c>
      <c r="AI96" s="152"/>
      <c r="AJ96" s="173">
        <v>11.651861083123295</v>
      </c>
      <c r="AK96" s="169"/>
      <c r="AL96" s="173">
        <v>20.144313025366362</v>
      </c>
      <c r="AM96" s="169" t="s">
        <v>186</v>
      </c>
      <c r="AN96" s="38"/>
      <c r="AO96" s="55"/>
      <c r="AP96" s="38"/>
      <c r="AQ96" s="55"/>
      <c r="AR96" s="38"/>
      <c r="AS96" s="55"/>
      <c r="AT96" s="38"/>
      <c r="AU96" s="55"/>
      <c r="AV96" s="38"/>
      <c r="AW96" s="55"/>
      <c r="AX96" s="38"/>
      <c r="AY96" s="55"/>
      <c r="AZ96" s="38"/>
      <c r="BA96" s="55"/>
      <c r="BB96" s="38"/>
      <c r="BC96" s="55"/>
      <c r="BD96" s="72">
        <v>16.28391088317299</v>
      </c>
      <c r="BE96" s="68"/>
      <c r="BF96" s="72">
        <v>12.153011695084691</v>
      </c>
      <c r="BG96" s="68"/>
      <c r="BH96" s="72">
        <v>17.585777994261793</v>
      </c>
      <c r="BI96" s="68"/>
      <c r="BJ96" s="72">
        <v>18.092694630993865</v>
      </c>
      <c r="BK96" s="68"/>
      <c r="BL96" s="88">
        <v>17.900359647858664</v>
      </c>
      <c r="BM96" s="84"/>
      <c r="BN96" s="88">
        <v>11.508738660003036</v>
      </c>
      <c r="BO96" s="84"/>
      <c r="BP96" s="104">
        <v>19.364858501571732</v>
      </c>
      <c r="BQ96" s="100"/>
      <c r="BR96" s="104">
        <v>13.311381697578978</v>
      </c>
      <c r="BS96" s="100"/>
      <c r="BT96" s="120">
        <v>12.550664962949947</v>
      </c>
      <c r="BU96" s="116"/>
      <c r="BV96" s="120">
        <v>17.144771423732404</v>
      </c>
      <c r="BW96" s="116"/>
      <c r="BX96" s="38"/>
      <c r="BY96" s="55"/>
      <c r="BZ96" s="38"/>
      <c r="CA96" s="55"/>
      <c r="CB96" s="38"/>
      <c r="CC96" s="55"/>
      <c r="CD96" s="38"/>
      <c r="CE96" s="55"/>
      <c r="CF96" s="38"/>
      <c r="CG96" s="55"/>
      <c r="CH96" s="38"/>
      <c r="CI96" s="55"/>
      <c r="CJ96" s="38"/>
      <c r="CK96" s="55"/>
      <c r="CL96" s="156">
        <v>15.395599019218949</v>
      </c>
      <c r="CM96" s="152"/>
      <c r="CN96" s="156">
        <v>17.764634086916974</v>
      </c>
      <c r="CO96" s="152"/>
      <c r="CP96" s="156">
        <v>11.785385174289816</v>
      </c>
      <c r="CQ96" s="152"/>
      <c r="CR96" s="173">
        <v>9.7696678195093742</v>
      </c>
      <c r="CS96" s="169"/>
      <c r="CT96" s="173">
        <v>17.676223506092668</v>
      </c>
      <c r="CU96" s="169"/>
      <c r="CV96" s="173">
        <v>18.838073010007271</v>
      </c>
      <c r="CW96" s="169"/>
      <c r="CX96" s="38"/>
      <c r="CY96" s="55"/>
      <c r="CZ96" s="38"/>
      <c r="DA96" s="55"/>
      <c r="DB96" s="72">
        <v>10.174836467516398</v>
      </c>
      <c r="DC96" s="68"/>
      <c r="DD96" s="72">
        <v>15.485008075623506</v>
      </c>
      <c r="DE96" s="68"/>
      <c r="DF96" s="72">
        <v>20.071175703372461</v>
      </c>
      <c r="DG96" s="68"/>
    </row>
    <row r="97" spans="1:111" outlineLevel="1" x14ac:dyDescent="0.2">
      <c r="A97" s="30"/>
      <c r="B97" s="32" t="s">
        <v>107</v>
      </c>
      <c r="C97" s="38">
        <v>3.7466586983724048</v>
      </c>
      <c r="D97" s="72">
        <v>2.7499898910277758</v>
      </c>
      <c r="E97" s="68"/>
      <c r="F97" s="72">
        <v>5.0229463511178478</v>
      </c>
      <c r="G97" s="68"/>
      <c r="H97" s="88">
        <v>2.6321774821652979</v>
      </c>
      <c r="I97" s="84"/>
      <c r="J97" s="88">
        <v>5.3283440997882874</v>
      </c>
      <c r="K97" s="84"/>
      <c r="L97" s="136"/>
      <c r="M97" s="132"/>
      <c r="N97" s="136"/>
      <c r="O97" s="132"/>
      <c r="P97" s="104">
        <v>2.8072966983008469</v>
      </c>
      <c r="Q97" s="100"/>
      <c r="R97" s="104">
        <v>3.8074666552606624</v>
      </c>
      <c r="S97" s="100"/>
      <c r="T97" s="104">
        <v>7.4727894326369855</v>
      </c>
      <c r="U97" s="100"/>
      <c r="V97" s="120">
        <v>2.9903147699757868</v>
      </c>
      <c r="W97" s="116"/>
      <c r="X97" s="120">
        <v>4.2938570750962723</v>
      </c>
      <c r="Y97" s="116"/>
      <c r="Z97" s="120">
        <v>7.5840417358752301</v>
      </c>
      <c r="AA97" s="116"/>
      <c r="AB97" s="156">
        <v>4.2642084108299736</v>
      </c>
      <c r="AC97" s="152"/>
      <c r="AD97" s="156">
        <v>1.9616148851074227</v>
      </c>
      <c r="AE97" s="152"/>
      <c r="AF97" s="156">
        <v>6.354115722549202</v>
      </c>
      <c r="AG97" s="152"/>
      <c r="AH97" s="156">
        <v>3.8146678474132858</v>
      </c>
      <c r="AI97" s="152"/>
      <c r="AJ97" s="173">
        <v>3.4055263340849407</v>
      </c>
      <c r="AK97" s="169"/>
      <c r="AL97" s="173">
        <v>4.1475665926443526</v>
      </c>
      <c r="AM97" s="169"/>
      <c r="AN97" s="38"/>
      <c r="AO97" s="55"/>
      <c r="AP97" s="38"/>
      <c r="AQ97" s="55"/>
      <c r="AR97" s="38"/>
      <c r="AS97" s="55"/>
      <c r="AT97" s="38"/>
      <c r="AU97" s="55"/>
      <c r="AV97" s="38"/>
      <c r="AW97" s="55"/>
      <c r="AX97" s="38"/>
      <c r="AY97" s="55"/>
      <c r="AZ97" s="38"/>
      <c r="BA97" s="55"/>
      <c r="BB97" s="38"/>
      <c r="BC97" s="55"/>
      <c r="BD97" s="72">
        <v>2.4468459353458174</v>
      </c>
      <c r="BE97" s="68"/>
      <c r="BF97" s="72">
        <v>5.1365229505498249</v>
      </c>
      <c r="BG97" s="68"/>
      <c r="BH97" s="72">
        <v>2.7207401765200716</v>
      </c>
      <c r="BI97" s="68"/>
      <c r="BJ97" s="72">
        <v>3.7332256236511174</v>
      </c>
      <c r="BK97" s="68"/>
      <c r="BL97" s="88">
        <v>3.3685379652050069</v>
      </c>
      <c r="BM97" s="84"/>
      <c r="BN97" s="88">
        <v>4.6706711753609707</v>
      </c>
      <c r="BO97" s="84"/>
      <c r="BP97" s="104">
        <v>4.5730866638102547</v>
      </c>
      <c r="BQ97" s="100"/>
      <c r="BR97" s="104">
        <v>3.3945025579741506</v>
      </c>
      <c r="BS97" s="100"/>
      <c r="BT97" s="120">
        <v>4.5709649356875861</v>
      </c>
      <c r="BU97" s="116"/>
      <c r="BV97" s="120">
        <v>3.2870508830120437</v>
      </c>
      <c r="BW97" s="116"/>
      <c r="BX97" s="38"/>
      <c r="BY97" s="55"/>
      <c r="BZ97" s="38"/>
      <c r="CA97" s="55"/>
      <c r="CB97" s="38"/>
      <c r="CC97" s="55"/>
      <c r="CD97" s="38"/>
      <c r="CE97" s="55"/>
      <c r="CF97" s="38"/>
      <c r="CG97" s="55"/>
      <c r="CH97" s="38"/>
      <c r="CI97" s="55"/>
      <c r="CJ97" s="38"/>
      <c r="CK97" s="55"/>
      <c r="CL97" s="156">
        <v>3.7260350651302141</v>
      </c>
      <c r="CM97" s="152"/>
      <c r="CN97" s="156">
        <v>4.4799669577202685</v>
      </c>
      <c r="CO97" s="152"/>
      <c r="CP97" s="156">
        <v>2.7448209254106932</v>
      </c>
      <c r="CQ97" s="152"/>
      <c r="CR97" s="173">
        <v>3.4100907526568145</v>
      </c>
      <c r="CS97" s="169"/>
      <c r="CT97" s="173">
        <v>5.107903226921243</v>
      </c>
      <c r="CU97" s="169"/>
      <c r="CV97" s="173">
        <v>2.6713067800299153</v>
      </c>
      <c r="CW97" s="169"/>
      <c r="CX97" s="38"/>
      <c r="CY97" s="55"/>
      <c r="CZ97" s="38"/>
      <c r="DA97" s="55"/>
      <c r="DB97" s="72">
        <v>5.6349336317403127</v>
      </c>
      <c r="DC97" s="68"/>
      <c r="DD97" s="72">
        <v>3.5157449886544918</v>
      </c>
      <c r="DE97" s="68"/>
      <c r="DF97" s="72">
        <v>2.5471399291969443</v>
      </c>
      <c r="DG97" s="68"/>
    </row>
    <row r="98" spans="1:111" outlineLevel="1" x14ac:dyDescent="0.2">
      <c r="A98" s="30"/>
      <c r="B98" s="32" t="s">
        <v>69</v>
      </c>
      <c r="C98" s="38">
        <v>0.27226562675194088</v>
      </c>
      <c r="D98" s="72">
        <v>0</v>
      </c>
      <c r="E98" s="68"/>
      <c r="F98" s="72">
        <v>0.62091630702786738</v>
      </c>
      <c r="G98" s="68"/>
      <c r="H98" s="88">
        <v>0</v>
      </c>
      <c r="I98" s="84"/>
      <c r="J98" s="88">
        <v>0.65866834119738893</v>
      </c>
      <c r="K98" s="84"/>
      <c r="L98" s="136"/>
      <c r="M98" s="132"/>
      <c r="N98" s="136"/>
      <c r="O98" s="132"/>
      <c r="P98" s="104">
        <v>0</v>
      </c>
      <c r="Q98" s="100"/>
      <c r="R98" s="104">
        <v>0</v>
      </c>
      <c r="S98" s="100"/>
      <c r="T98" s="104">
        <v>0</v>
      </c>
      <c r="U98" s="100"/>
      <c r="V98" s="120">
        <v>0</v>
      </c>
      <c r="W98" s="116"/>
      <c r="X98" s="120">
        <v>0</v>
      </c>
      <c r="Y98" s="116"/>
      <c r="Z98" s="120">
        <v>0</v>
      </c>
      <c r="AA98" s="116"/>
      <c r="AB98" s="156">
        <v>0</v>
      </c>
      <c r="AC98" s="152"/>
      <c r="AD98" s="156">
        <v>0.85359819806677106</v>
      </c>
      <c r="AE98" s="152"/>
      <c r="AF98" s="156">
        <v>0</v>
      </c>
      <c r="AG98" s="152"/>
      <c r="AH98" s="156">
        <v>0</v>
      </c>
      <c r="AI98" s="152"/>
      <c r="AJ98" s="173">
        <v>0.50393633789312797</v>
      </c>
      <c r="AK98" s="169"/>
      <c r="AL98" s="173">
        <v>0</v>
      </c>
      <c r="AM98" s="169"/>
      <c r="AN98" s="38"/>
      <c r="AO98" s="55"/>
      <c r="AP98" s="38"/>
      <c r="AQ98" s="55"/>
      <c r="AR98" s="38"/>
      <c r="AS98" s="55"/>
      <c r="AT98" s="38"/>
      <c r="AU98" s="55"/>
      <c r="AV98" s="38"/>
      <c r="AW98" s="55"/>
      <c r="AX98" s="38"/>
      <c r="AY98" s="55"/>
      <c r="AZ98" s="38"/>
      <c r="BA98" s="55"/>
      <c r="BB98" s="38"/>
      <c r="BC98" s="55"/>
      <c r="BD98" s="72">
        <v>0</v>
      </c>
      <c r="BE98" s="68"/>
      <c r="BF98" s="72">
        <v>0</v>
      </c>
      <c r="BG98" s="68"/>
      <c r="BH98" s="72">
        <v>0</v>
      </c>
      <c r="BI98" s="68"/>
      <c r="BJ98" s="72">
        <v>1.1711016530221006</v>
      </c>
      <c r="BK98" s="68"/>
      <c r="BL98" s="88">
        <v>0</v>
      </c>
      <c r="BM98" s="84"/>
      <c r="BN98" s="88">
        <v>0</v>
      </c>
      <c r="BO98" s="84"/>
      <c r="BP98" s="104">
        <v>0</v>
      </c>
      <c r="BQ98" s="100"/>
      <c r="BR98" s="104">
        <v>0.41336998464917601</v>
      </c>
      <c r="BS98" s="100"/>
      <c r="BT98" s="120">
        <v>0</v>
      </c>
      <c r="BU98" s="116"/>
      <c r="BV98" s="120">
        <v>0</v>
      </c>
      <c r="BW98" s="116"/>
      <c r="BX98" s="38"/>
      <c r="BY98" s="55"/>
      <c r="BZ98" s="38"/>
      <c r="CA98" s="55"/>
      <c r="CB98" s="38"/>
      <c r="CC98" s="55"/>
      <c r="CD98" s="38"/>
      <c r="CE98" s="55"/>
      <c r="CF98" s="38"/>
      <c r="CG98" s="55"/>
      <c r="CH98" s="38"/>
      <c r="CI98" s="55"/>
      <c r="CJ98" s="38"/>
      <c r="CK98" s="55"/>
      <c r="CL98" s="156">
        <v>0.34585849320638917</v>
      </c>
      <c r="CM98" s="152"/>
      <c r="CN98" s="156">
        <v>0</v>
      </c>
      <c r="CO98" s="152"/>
      <c r="CP98" s="156">
        <v>0</v>
      </c>
      <c r="CQ98" s="152"/>
      <c r="CR98" s="173">
        <v>0</v>
      </c>
      <c r="CS98" s="169"/>
      <c r="CT98" s="173">
        <v>0</v>
      </c>
      <c r="CU98" s="169"/>
      <c r="CV98" s="173">
        <v>0</v>
      </c>
      <c r="CW98" s="169"/>
      <c r="CX98" s="38"/>
      <c r="CY98" s="55"/>
      <c r="CZ98" s="38"/>
      <c r="DA98" s="55"/>
      <c r="DB98" s="72">
        <v>1.1045834584277228</v>
      </c>
      <c r="DC98" s="68"/>
      <c r="DD98" s="72">
        <v>0</v>
      </c>
      <c r="DE98" s="68"/>
      <c r="DF98" s="72">
        <v>0</v>
      </c>
      <c r="DG98" s="68"/>
    </row>
    <row r="99" spans="1:111" outlineLevel="1" x14ac:dyDescent="0.2">
      <c r="A99" s="30"/>
      <c r="B99" s="32" t="s">
        <v>110</v>
      </c>
      <c r="C99" s="38">
        <v>0.22500526983813748</v>
      </c>
      <c r="D99" s="72">
        <v>0</v>
      </c>
      <c r="E99" s="68"/>
      <c r="F99" s="72">
        <v>0.51313653830049333</v>
      </c>
      <c r="G99" s="68"/>
      <c r="H99" s="88">
        <v>0</v>
      </c>
      <c r="I99" s="84"/>
      <c r="J99" s="88">
        <v>0.54433550651615781</v>
      </c>
      <c r="K99" s="84"/>
      <c r="L99" s="136"/>
      <c r="M99" s="132"/>
      <c r="N99" s="136"/>
      <c r="O99" s="132"/>
      <c r="P99" s="104">
        <v>0</v>
      </c>
      <c r="Q99" s="100"/>
      <c r="R99" s="104">
        <v>1.9074165163688035</v>
      </c>
      <c r="S99" s="100"/>
      <c r="T99" s="104">
        <v>0</v>
      </c>
      <c r="U99" s="100"/>
      <c r="V99" s="120">
        <v>0</v>
      </c>
      <c r="W99" s="116"/>
      <c r="X99" s="120">
        <v>2.1510822406414389</v>
      </c>
      <c r="Y99" s="116"/>
      <c r="Z99" s="120">
        <v>0</v>
      </c>
      <c r="AA99" s="116"/>
      <c r="AB99" s="156">
        <v>1.0019847461646965</v>
      </c>
      <c r="AC99" s="152"/>
      <c r="AD99" s="156">
        <v>0</v>
      </c>
      <c r="AE99" s="152"/>
      <c r="AF99" s="156">
        <v>0</v>
      </c>
      <c r="AG99" s="152"/>
      <c r="AH99" s="156">
        <v>0</v>
      </c>
      <c r="AI99" s="152"/>
      <c r="AJ99" s="173">
        <v>0</v>
      </c>
      <c r="AK99" s="169"/>
      <c r="AL99" s="173">
        <v>0.4894374913874367</v>
      </c>
      <c r="AM99" s="169"/>
      <c r="AN99" s="38"/>
      <c r="AO99" s="55"/>
      <c r="AP99" s="38"/>
      <c r="AQ99" s="55"/>
      <c r="AR99" s="38"/>
      <c r="AS99" s="55"/>
      <c r="AT99" s="38"/>
      <c r="AU99" s="55"/>
      <c r="AV99" s="38"/>
      <c r="AW99" s="55"/>
      <c r="AX99" s="38"/>
      <c r="AY99" s="55"/>
      <c r="AZ99" s="38"/>
      <c r="BA99" s="55"/>
      <c r="BB99" s="38"/>
      <c r="BC99" s="55"/>
      <c r="BD99" s="72">
        <v>0</v>
      </c>
      <c r="BE99" s="68"/>
      <c r="BF99" s="72">
        <v>0.64453446496894551</v>
      </c>
      <c r="BG99" s="68"/>
      <c r="BH99" s="72">
        <v>0</v>
      </c>
      <c r="BI99" s="68"/>
      <c r="BJ99" s="72">
        <v>0</v>
      </c>
      <c r="BK99" s="68"/>
      <c r="BL99" s="88">
        <v>0</v>
      </c>
      <c r="BM99" s="84"/>
      <c r="BN99" s="88">
        <v>0.5367503833214865</v>
      </c>
      <c r="BO99" s="84"/>
      <c r="BP99" s="104">
        <v>0.68104205288320807</v>
      </c>
      <c r="BQ99" s="100"/>
      <c r="BR99" s="104">
        <v>0</v>
      </c>
      <c r="BS99" s="100"/>
      <c r="BT99" s="120">
        <v>0</v>
      </c>
      <c r="BU99" s="116"/>
      <c r="BV99" s="120">
        <v>0.37451785550152128</v>
      </c>
      <c r="BW99" s="116"/>
      <c r="BX99" s="38"/>
      <c r="BY99" s="55"/>
      <c r="BZ99" s="38"/>
      <c r="CA99" s="55"/>
      <c r="CB99" s="38"/>
      <c r="CC99" s="55"/>
      <c r="CD99" s="38"/>
      <c r="CE99" s="55"/>
      <c r="CF99" s="38"/>
      <c r="CG99" s="55"/>
      <c r="CH99" s="38"/>
      <c r="CI99" s="55"/>
      <c r="CJ99" s="38"/>
      <c r="CK99" s="55"/>
      <c r="CL99" s="156">
        <v>0</v>
      </c>
      <c r="CM99" s="152"/>
      <c r="CN99" s="156">
        <v>0</v>
      </c>
      <c r="CO99" s="152"/>
      <c r="CP99" s="156">
        <v>0</v>
      </c>
      <c r="CQ99" s="152"/>
      <c r="CR99" s="173">
        <v>0</v>
      </c>
      <c r="CS99" s="169"/>
      <c r="CT99" s="173">
        <v>0</v>
      </c>
      <c r="CU99" s="169"/>
      <c r="CV99" s="173">
        <v>0.92929615685620748</v>
      </c>
      <c r="CW99" s="169"/>
      <c r="CX99" s="38"/>
      <c r="CY99" s="55"/>
      <c r="CZ99" s="38"/>
      <c r="DA99" s="55"/>
      <c r="DB99" s="72">
        <v>0</v>
      </c>
      <c r="DC99" s="68"/>
      <c r="DD99" s="72">
        <v>0</v>
      </c>
      <c r="DE99" s="68"/>
      <c r="DF99" s="72">
        <v>0.74781069498788899</v>
      </c>
      <c r="DG99" s="68"/>
    </row>
    <row r="100" spans="1:111" outlineLevel="1" x14ac:dyDescent="0.2">
      <c r="A100" s="30"/>
      <c r="B100" s="30"/>
      <c r="E100" s="66"/>
      <c r="G100" s="66"/>
      <c r="I100" s="82"/>
      <c r="K100" s="82"/>
      <c r="M100" s="130"/>
      <c r="O100" s="130"/>
      <c r="Q100" s="98"/>
      <c r="S100" s="98"/>
      <c r="U100" s="98"/>
      <c r="W100" s="114"/>
      <c r="Y100" s="114"/>
      <c r="AA100" s="114"/>
      <c r="AC100" s="150"/>
      <c r="AE100" s="150"/>
      <c r="AG100" s="150"/>
      <c r="AI100" s="150"/>
      <c r="AK100" s="167"/>
      <c r="AM100" s="167"/>
      <c r="AO100" s="54"/>
      <c r="AQ100" s="54"/>
      <c r="AS100" s="54"/>
      <c r="AU100" s="54"/>
      <c r="AW100" s="54"/>
      <c r="AY100" s="54"/>
      <c r="BA100" s="54"/>
      <c r="BC100" s="54"/>
      <c r="BE100" s="66"/>
      <c r="BG100" s="66"/>
      <c r="BI100" s="66"/>
      <c r="BK100" s="66"/>
      <c r="BM100" s="82"/>
      <c r="BO100" s="82"/>
      <c r="BQ100" s="98"/>
      <c r="BS100" s="98"/>
      <c r="BU100" s="114"/>
      <c r="BW100" s="114"/>
      <c r="BY100" s="54"/>
      <c r="CA100" s="54"/>
      <c r="CC100" s="54"/>
      <c r="CE100" s="54"/>
      <c r="CG100" s="54"/>
      <c r="CI100" s="54"/>
      <c r="CK100" s="54"/>
      <c r="CM100" s="150"/>
      <c r="CO100" s="150"/>
      <c r="CQ100" s="150"/>
      <c r="CS100" s="167"/>
      <c r="CU100" s="167"/>
      <c r="CW100" s="167"/>
      <c r="CY100" s="54"/>
      <c r="DA100" s="54"/>
      <c r="DC100" s="66"/>
      <c r="DE100" s="66"/>
      <c r="DG100" s="66"/>
    </row>
    <row r="101" spans="1:111" x14ac:dyDescent="0.2">
      <c r="A101" s="30"/>
      <c r="B101" s="30"/>
      <c r="E101" s="66"/>
      <c r="G101" s="66"/>
      <c r="I101" s="82"/>
      <c r="K101" s="82"/>
      <c r="M101" s="130"/>
      <c r="O101" s="130"/>
      <c r="Q101" s="98"/>
      <c r="S101" s="98"/>
      <c r="U101" s="98"/>
      <c r="W101" s="114"/>
      <c r="Y101" s="114"/>
      <c r="AA101" s="114"/>
      <c r="AC101" s="150"/>
      <c r="AE101" s="150"/>
      <c r="AG101" s="150"/>
      <c r="AI101" s="150"/>
      <c r="AK101" s="167"/>
      <c r="AM101" s="167"/>
      <c r="AO101" s="54"/>
      <c r="AQ101" s="54"/>
      <c r="AS101" s="54"/>
      <c r="AU101" s="54"/>
      <c r="AW101" s="54"/>
      <c r="AY101" s="54"/>
      <c r="BA101" s="54"/>
      <c r="BC101" s="54"/>
      <c r="BE101" s="66"/>
      <c r="BG101" s="66"/>
      <c r="BI101" s="66"/>
      <c r="BK101" s="66"/>
      <c r="BM101" s="82"/>
      <c r="BO101" s="82"/>
      <c r="BQ101" s="98"/>
      <c r="BS101" s="98"/>
      <c r="BU101" s="114"/>
      <c r="BW101" s="114"/>
      <c r="BY101" s="54"/>
      <c r="CA101" s="54"/>
      <c r="CC101" s="54"/>
      <c r="CE101" s="54"/>
      <c r="CG101" s="54"/>
      <c r="CI101" s="54"/>
      <c r="CK101" s="54"/>
      <c r="CM101" s="150"/>
      <c r="CO101" s="150"/>
      <c r="CQ101" s="150"/>
      <c r="CS101" s="167"/>
      <c r="CU101" s="167"/>
      <c r="CW101" s="167"/>
      <c r="CY101" s="54"/>
      <c r="DA101" s="54"/>
      <c r="DC101" s="66"/>
      <c r="DE101" s="66"/>
      <c r="DG101" s="66"/>
    </row>
    <row r="102" spans="1:111" x14ac:dyDescent="0.2">
      <c r="A102" s="28" t="s">
        <v>111</v>
      </c>
      <c r="B102" s="29" t="s">
        <v>113</v>
      </c>
      <c r="E102" s="66"/>
      <c r="G102" s="66"/>
      <c r="I102" s="82"/>
      <c r="K102" s="82"/>
      <c r="M102" s="130"/>
      <c r="O102" s="130"/>
      <c r="Q102" s="98"/>
      <c r="S102" s="98"/>
      <c r="U102" s="98"/>
      <c r="W102" s="114"/>
      <c r="Y102" s="114"/>
      <c r="AA102" s="114"/>
      <c r="AC102" s="150"/>
      <c r="AE102" s="150"/>
      <c r="AG102" s="150"/>
      <c r="AI102" s="150"/>
      <c r="AK102" s="167"/>
      <c r="AM102" s="167"/>
      <c r="AO102" s="54"/>
      <c r="AQ102" s="54"/>
      <c r="AS102" s="54"/>
      <c r="AU102" s="54"/>
      <c r="AW102" s="54"/>
      <c r="AY102" s="54"/>
      <c r="BA102" s="54"/>
      <c r="BC102" s="54"/>
      <c r="BE102" s="66"/>
      <c r="BG102" s="66"/>
      <c r="BI102" s="66"/>
      <c r="BK102" s="66"/>
      <c r="BM102" s="82"/>
      <c r="BO102" s="82"/>
      <c r="BQ102" s="98"/>
      <c r="BS102" s="98"/>
      <c r="BU102" s="114"/>
      <c r="BW102" s="114"/>
      <c r="BY102" s="54"/>
      <c r="CA102" s="54"/>
      <c r="CC102" s="54"/>
      <c r="CE102" s="54"/>
      <c r="CG102" s="54"/>
      <c r="CI102" s="54"/>
      <c r="CK102" s="54"/>
      <c r="CM102" s="150"/>
      <c r="CO102" s="150"/>
      <c r="CQ102" s="150"/>
      <c r="CS102" s="167"/>
      <c r="CU102" s="167"/>
      <c r="CW102" s="167"/>
      <c r="CY102" s="54"/>
      <c r="DA102" s="54"/>
      <c r="DC102" s="66"/>
      <c r="DE102" s="66"/>
      <c r="DG102" s="66"/>
    </row>
    <row r="103" spans="1:111" outlineLevel="1" x14ac:dyDescent="0.2">
      <c r="A103" s="30"/>
      <c r="B103" s="32" t="s">
        <v>114</v>
      </c>
      <c r="C103" s="31">
        <f>1127.63403195519+58.3659680448118</f>
        <v>1186.0000000000018</v>
      </c>
      <c r="D103" s="67">
        <f>721.872094718843+35.1279052811569</f>
        <v>756.99999999999989</v>
      </c>
      <c r="E103" s="68"/>
      <c r="F103" s="67">
        <f>405.843315961539+23.1566840384613</f>
        <v>429.00000000000034</v>
      </c>
      <c r="G103" s="68"/>
      <c r="H103" s="83">
        <f>810.65172961801+41.3482703819896</f>
        <v>851.99999999999955</v>
      </c>
      <c r="I103" s="84"/>
      <c r="J103" s="83">
        <f>316.982968446949+17.017031553051</f>
        <v>334</v>
      </c>
      <c r="K103" s="84"/>
      <c r="L103" s="131"/>
      <c r="M103" s="132"/>
      <c r="N103" s="131"/>
      <c r="O103" s="132"/>
      <c r="P103" s="99">
        <f>151.172066708317+10.8279332916831</f>
        <v>162.00000000000011</v>
      </c>
      <c r="Q103" s="100"/>
      <c r="R103" s="99">
        <f>110.763757656262+5.23624234373847</f>
        <v>116.00000000000047</v>
      </c>
      <c r="S103" s="100"/>
      <c r="T103" s="99">
        <f>82.034622315523+2.96537768447705</f>
        <v>85.000000000000043</v>
      </c>
      <c r="U103" s="100"/>
      <c r="V103" s="115">
        <f>102.137386512547+5.86261348745296</f>
        <v>107.99999999999996</v>
      </c>
      <c r="W103" s="116"/>
      <c r="X103" s="115">
        <f>93.2698615974622+4.73013840253776</f>
        <v>97.999999999999957</v>
      </c>
      <c r="Y103" s="116"/>
      <c r="Z103" s="115">
        <f>71.2315507368926+2.76844926310739</f>
        <v>73.999999999999986</v>
      </c>
      <c r="AA103" s="116"/>
      <c r="AB103" s="151">
        <f>267.67845661358+11.3215433864203</f>
        <v>279.00000000000028</v>
      </c>
      <c r="AC103" s="152"/>
      <c r="AD103" s="151">
        <f>496.811140717076+27.1888592829241</f>
        <v>524.00000000000011</v>
      </c>
      <c r="AE103" s="152"/>
      <c r="AF103" s="151">
        <f>190.989236401594+7.0107635984059</f>
        <v>197.99999999999991</v>
      </c>
      <c r="AG103" s="152"/>
      <c r="AH103" s="151">
        <f>181.184096961345+3.8159030386546</f>
        <v>184.9999999999996</v>
      </c>
      <c r="AI103" s="152"/>
      <c r="AJ103" s="168">
        <f>521.220955551001+24.7790444489995</f>
        <v>546.00000000000045</v>
      </c>
      <c r="AK103" s="169"/>
      <c r="AL103" s="168">
        <f>607.148329376956+32.8516706230436</f>
        <v>639.99999999999955</v>
      </c>
      <c r="AM103" s="169"/>
      <c r="AN103" s="31"/>
      <c r="AO103" s="55"/>
      <c r="AP103" s="31"/>
      <c r="AQ103" s="55"/>
      <c r="AR103" s="31"/>
      <c r="AS103" s="55"/>
      <c r="AT103" s="31"/>
      <c r="AU103" s="55"/>
      <c r="AV103" s="31"/>
      <c r="AW103" s="55"/>
      <c r="AX103" s="31"/>
      <c r="AY103" s="55"/>
      <c r="AZ103" s="31"/>
      <c r="BA103" s="55"/>
      <c r="BB103" s="31"/>
      <c r="BC103" s="55"/>
      <c r="BD103" s="67">
        <f>223.065104851009+6.93489514899099</f>
        <v>230</v>
      </c>
      <c r="BE103" s="68"/>
      <c r="BF103" s="67">
        <f>462.840837527147+13.159162472853</f>
        <v>476</v>
      </c>
      <c r="BG103" s="68"/>
      <c r="BH103" s="67">
        <f>232.512488451597+8.4875115484034</f>
        <v>241.0000000000004</v>
      </c>
      <c r="BI103" s="68"/>
      <c r="BJ103" s="67">
        <f>221.225987001005+17.7740129989954</f>
        <v>239.0000000000004</v>
      </c>
      <c r="BK103" s="68"/>
      <c r="BL103" s="83">
        <f>536.28827663576+27.7117233642399</f>
        <v>563.99999999999989</v>
      </c>
      <c r="BM103" s="84"/>
      <c r="BN103" s="83">
        <f>552.188269778489+28.8117302215109</f>
        <v>580.99999999999989</v>
      </c>
      <c r="BO103" s="84"/>
      <c r="BP103" s="99">
        <f>331.700476269715+14.2995237302853</f>
        <v>346.00000000000028</v>
      </c>
      <c r="BQ103" s="100"/>
      <c r="BR103" s="99">
        <f>794.129375146353+43.8706248536467</f>
        <v>837.99999999999977</v>
      </c>
      <c r="BS103" s="100"/>
      <c r="BT103" s="115">
        <f>474.515734628281+27.4842653717194</f>
        <v>502.0000000000004</v>
      </c>
      <c r="BU103" s="116"/>
      <c r="BV103" s="115">
        <f>650.656753452759+30.3432465472413</f>
        <v>681.00000000000023</v>
      </c>
      <c r="BW103" s="116"/>
      <c r="BX103" s="31"/>
      <c r="BY103" s="55"/>
      <c r="BZ103" s="31"/>
      <c r="CA103" s="55"/>
      <c r="CB103" s="31"/>
      <c r="CC103" s="55"/>
      <c r="CD103" s="31"/>
      <c r="CE103" s="55"/>
      <c r="CF103" s="31"/>
      <c r="CG103" s="55"/>
      <c r="CH103" s="31"/>
      <c r="CI103" s="55"/>
      <c r="CJ103" s="31"/>
      <c r="CK103" s="55"/>
      <c r="CL103" s="151">
        <f>748.691760906226+32.3082390937736</f>
        <v>780.99999999999966</v>
      </c>
      <c r="CM103" s="152"/>
      <c r="CN103" s="151">
        <f>212.573776650755+14.4262233492446</f>
        <v>226.9999999999996</v>
      </c>
      <c r="CO103" s="152"/>
      <c r="CP103" s="151">
        <f>185.994969498356+15.0050305016437</f>
        <v>200.99999999999969</v>
      </c>
      <c r="CQ103" s="152"/>
      <c r="CR103" s="168">
        <f>539.102587825044+28.8974121749559</f>
        <v>567.99999999999989</v>
      </c>
      <c r="CS103" s="169"/>
      <c r="CT103" s="168">
        <f>233.676499595873+12.3235004041267</f>
        <v>245.99999999999969</v>
      </c>
      <c r="CU103" s="169"/>
      <c r="CV103" s="168">
        <f>243.530377016659+11.4696229833413</f>
        <v>255.00000000000031</v>
      </c>
      <c r="CW103" s="169"/>
      <c r="CX103" s="31"/>
      <c r="CY103" s="55"/>
      <c r="CZ103" s="31"/>
      <c r="DA103" s="55"/>
      <c r="DB103" s="67">
        <f>394.525342004359+22.4746579956415</f>
        <v>417.00000000000051</v>
      </c>
      <c r="DC103" s="68"/>
      <c r="DD103" s="67">
        <f>542.283815538701+25.7161844612988</f>
        <v>567.99999999999977</v>
      </c>
      <c r="DE103" s="68"/>
      <c r="DF103" s="67">
        <f>191.393338941287+9.60666105871252</f>
        <v>200.99999999999952</v>
      </c>
      <c r="DG103" s="68"/>
    </row>
    <row r="104" spans="1:111" s="35" customFormat="1" outlineLevel="1" x14ac:dyDescent="0.2">
      <c r="A104" s="30"/>
      <c r="B104" s="33"/>
      <c r="C104" s="34" t="s">
        <v>167</v>
      </c>
      <c r="D104" s="69" t="s">
        <v>167</v>
      </c>
      <c r="E104" s="70"/>
      <c r="F104" s="69" t="s">
        <v>167</v>
      </c>
      <c r="G104" s="70"/>
      <c r="H104" s="85" t="s">
        <v>167</v>
      </c>
      <c r="I104" s="86"/>
      <c r="J104" s="85" t="s">
        <v>167</v>
      </c>
      <c r="K104" s="86"/>
      <c r="L104" s="133"/>
      <c r="M104" s="134"/>
      <c r="N104" s="133"/>
      <c r="O104" s="134"/>
      <c r="P104" s="101" t="s">
        <v>167</v>
      </c>
      <c r="Q104" s="102"/>
      <c r="R104" s="101" t="s">
        <v>167</v>
      </c>
      <c r="S104" s="102"/>
      <c r="T104" s="101" t="s">
        <v>167</v>
      </c>
      <c r="U104" s="102"/>
      <c r="V104" s="117" t="s">
        <v>167</v>
      </c>
      <c r="W104" s="118"/>
      <c r="X104" s="117" t="s">
        <v>167</v>
      </c>
      <c r="Y104" s="118"/>
      <c r="Z104" s="117" t="s">
        <v>167</v>
      </c>
      <c r="AA104" s="118"/>
      <c r="AB104" s="153" t="s">
        <v>167</v>
      </c>
      <c r="AC104" s="154"/>
      <c r="AD104" s="153" t="s">
        <v>167</v>
      </c>
      <c r="AE104" s="154"/>
      <c r="AF104" s="153" t="s">
        <v>167</v>
      </c>
      <c r="AG104" s="154"/>
      <c r="AH104" s="153" t="s">
        <v>167</v>
      </c>
      <c r="AI104" s="154"/>
      <c r="AJ104" s="170" t="s">
        <v>167</v>
      </c>
      <c r="AK104" s="171"/>
      <c r="AL104" s="170" t="s">
        <v>167</v>
      </c>
      <c r="AM104" s="171"/>
      <c r="AN104" s="34"/>
      <c r="AO104" s="56"/>
      <c r="AP104" s="34"/>
      <c r="AQ104" s="56"/>
      <c r="AR104" s="34"/>
      <c r="AS104" s="56"/>
      <c r="AT104" s="34"/>
      <c r="AU104" s="56"/>
      <c r="AV104" s="34"/>
      <c r="AW104" s="56"/>
      <c r="AX104" s="34"/>
      <c r="AY104" s="56"/>
      <c r="AZ104" s="34"/>
      <c r="BA104" s="56"/>
      <c r="BB104" s="34"/>
      <c r="BC104" s="56"/>
      <c r="BD104" s="69" t="s">
        <v>167</v>
      </c>
      <c r="BE104" s="70"/>
      <c r="BF104" s="69" t="s">
        <v>167</v>
      </c>
      <c r="BG104" s="70"/>
      <c r="BH104" s="69" t="s">
        <v>167</v>
      </c>
      <c r="BI104" s="70"/>
      <c r="BJ104" s="69" t="s">
        <v>167</v>
      </c>
      <c r="BK104" s="70"/>
      <c r="BL104" s="85" t="s">
        <v>167</v>
      </c>
      <c r="BM104" s="86"/>
      <c r="BN104" s="85" t="s">
        <v>167</v>
      </c>
      <c r="BO104" s="86"/>
      <c r="BP104" s="101" t="s">
        <v>167</v>
      </c>
      <c r="BQ104" s="102"/>
      <c r="BR104" s="101" t="s">
        <v>167</v>
      </c>
      <c r="BS104" s="102"/>
      <c r="BT104" s="117" t="s">
        <v>167</v>
      </c>
      <c r="BU104" s="118"/>
      <c r="BV104" s="117" t="s">
        <v>167</v>
      </c>
      <c r="BW104" s="118"/>
      <c r="BX104" s="34"/>
      <c r="BY104" s="56"/>
      <c r="BZ104" s="34"/>
      <c r="CA104" s="56"/>
      <c r="CB104" s="34"/>
      <c r="CC104" s="56"/>
      <c r="CD104" s="34"/>
      <c r="CE104" s="56"/>
      <c r="CF104" s="34"/>
      <c r="CG104" s="56"/>
      <c r="CH104" s="34"/>
      <c r="CI104" s="56"/>
      <c r="CJ104" s="34"/>
      <c r="CK104" s="56"/>
      <c r="CL104" s="153" t="s">
        <v>167</v>
      </c>
      <c r="CM104" s="154"/>
      <c r="CN104" s="153" t="s">
        <v>167</v>
      </c>
      <c r="CO104" s="154"/>
      <c r="CP104" s="153" t="s">
        <v>167</v>
      </c>
      <c r="CQ104" s="154"/>
      <c r="CR104" s="170" t="s">
        <v>167</v>
      </c>
      <c r="CS104" s="171"/>
      <c r="CT104" s="170" t="s">
        <v>167</v>
      </c>
      <c r="CU104" s="171"/>
      <c r="CV104" s="170" t="s">
        <v>167</v>
      </c>
      <c r="CW104" s="171"/>
      <c r="CX104" s="34"/>
      <c r="CY104" s="56"/>
      <c r="CZ104" s="34"/>
      <c r="DA104" s="56"/>
      <c r="DB104" s="69" t="s">
        <v>167</v>
      </c>
      <c r="DC104" s="70"/>
      <c r="DD104" s="69" t="s">
        <v>167</v>
      </c>
      <c r="DE104" s="70"/>
      <c r="DF104" s="69" t="s">
        <v>167</v>
      </c>
      <c r="DG104" s="70"/>
    </row>
    <row r="105" spans="1:111" outlineLevel="1" x14ac:dyDescent="0.2">
      <c r="A105" s="30"/>
      <c r="B105" s="30"/>
      <c r="E105" s="66"/>
      <c r="G105" s="66"/>
      <c r="I105" s="82"/>
      <c r="K105" s="82"/>
      <c r="M105" s="130"/>
      <c r="O105" s="130"/>
      <c r="Q105" s="98"/>
      <c r="S105" s="98"/>
      <c r="U105" s="98"/>
      <c r="W105" s="114"/>
      <c r="Y105" s="114"/>
      <c r="AA105" s="114"/>
      <c r="AC105" s="150"/>
      <c r="AE105" s="150"/>
      <c r="AG105" s="150"/>
      <c r="AI105" s="150"/>
      <c r="AK105" s="167"/>
      <c r="AM105" s="167"/>
      <c r="AO105" s="54"/>
      <c r="AQ105" s="54"/>
      <c r="AS105" s="54"/>
      <c r="AU105" s="54"/>
      <c r="AW105" s="54"/>
      <c r="AY105" s="54"/>
      <c r="BA105" s="54"/>
      <c r="BC105" s="54"/>
      <c r="BE105" s="66"/>
      <c r="BG105" s="66"/>
      <c r="BI105" s="66"/>
      <c r="BK105" s="66"/>
      <c r="BM105" s="82"/>
      <c r="BO105" s="82"/>
      <c r="BQ105" s="98"/>
      <c r="BS105" s="98"/>
      <c r="BU105" s="114"/>
      <c r="BW105" s="114"/>
      <c r="BY105" s="54"/>
      <c r="CA105" s="54"/>
      <c r="CC105" s="54"/>
      <c r="CE105" s="54"/>
      <c r="CG105" s="54"/>
      <c r="CI105" s="54"/>
      <c r="CK105" s="54"/>
      <c r="CM105" s="150"/>
      <c r="CO105" s="150"/>
      <c r="CQ105" s="150"/>
      <c r="CS105" s="167"/>
      <c r="CU105" s="167"/>
      <c r="CW105" s="167"/>
      <c r="CY105" s="54"/>
      <c r="DA105" s="54"/>
      <c r="DC105" s="66"/>
      <c r="DE105" s="66"/>
      <c r="DG105" s="66"/>
    </row>
    <row r="106" spans="1:111" outlineLevel="1" x14ac:dyDescent="0.2">
      <c r="A106" s="30"/>
      <c r="B106" s="32" t="s">
        <v>115</v>
      </c>
      <c r="C106" s="38">
        <v>17.963724886016973</v>
      </c>
      <c r="D106" s="72">
        <v>19.85364069671499</v>
      </c>
      <c r="E106" s="68" t="s">
        <v>175</v>
      </c>
      <c r="F106" s="72">
        <v>14.66097013018614</v>
      </c>
      <c r="G106" s="68"/>
      <c r="H106" s="88">
        <v>19.564039924849684</v>
      </c>
      <c r="I106" s="84" t="s">
        <v>177</v>
      </c>
      <c r="J106" s="88">
        <v>13.878070437908013</v>
      </c>
      <c r="K106" s="84"/>
      <c r="L106" s="136"/>
      <c r="M106" s="132"/>
      <c r="N106" s="136"/>
      <c r="O106" s="132"/>
      <c r="P106" s="104">
        <v>16.480882154291098</v>
      </c>
      <c r="Q106" s="100"/>
      <c r="R106" s="104">
        <v>12.866229291382432</v>
      </c>
      <c r="S106" s="100"/>
      <c r="T106" s="104">
        <v>15.115686836550738</v>
      </c>
      <c r="U106" s="100"/>
      <c r="V106" s="120">
        <v>13.257374752329724</v>
      </c>
      <c r="W106" s="116"/>
      <c r="X106" s="120">
        <v>13.033212396442645</v>
      </c>
      <c r="Y106" s="116"/>
      <c r="Z106" s="120">
        <v>16.150674505026057</v>
      </c>
      <c r="AA106" s="116"/>
      <c r="AB106" s="156">
        <v>15.291528867305011</v>
      </c>
      <c r="AC106" s="152"/>
      <c r="AD106" s="156">
        <v>18.36988090379019</v>
      </c>
      <c r="AE106" s="152"/>
      <c r="AF106" s="156">
        <v>18.039955896279544</v>
      </c>
      <c r="AG106" s="152"/>
      <c r="AH106" s="156">
        <v>20.979119567789656</v>
      </c>
      <c r="AI106" s="152"/>
      <c r="AJ106" s="173">
        <v>21.995147478267178</v>
      </c>
      <c r="AK106" s="169" t="s">
        <v>187</v>
      </c>
      <c r="AL106" s="173">
        <v>14.321297850733668</v>
      </c>
      <c r="AM106" s="169"/>
      <c r="AN106" s="38"/>
      <c r="AO106" s="55"/>
      <c r="AP106" s="38"/>
      <c r="AQ106" s="55"/>
      <c r="AR106" s="38"/>
      <c r="AS106" s="55"/>
      <c r="AT106" s="38"/>
      <c r="AU106" s="55"/>
      <c r="AV106" s="38"/>
      <c r="AW106" s="55"/>
      <c r="AX106" s="38"/>
      <c r="AY106" s="55"/>
      <c r="AZ106" s="38"/>
      <c r="BA106" s="55"/>
      <c r="BB106" s="38"/>
      <c r="BC106" s="55"/>
      <c r="BD106" s="72">
        <v>20.752180656034568</v>
      </c>
      <c r="BE106" s="68" t="s">
        <v>194</v>
      </c>
      <c r="BF106" s="72">
        <v>19.555759610644198</v>
      </c>
      <c r="BG106" s="68" t="s">
        <v>194</v>
      </c>
      <c r="BH106" s="72">
        <v>17.900645154771468</v>
      </c>
      <c r="BI106" s="68"/>
      <c r="BJ106" s="72">
        <v>13.102468731577792</v>
      </c>
      <c r="BK106" s="68"/>
      <c r="BL106" s="88">
        <v>15.614757843780398</v>
      </c>
      <c r="BM106" s="84"/>
      <c r="BN106" s="88">
        <v>20.421810320177688</v>
      </c>
      <c r="BO106" s="84" t="s">
        <v>195</v>
      </c>
      <c r="BP106" s="104">
        <v>16.252041302827088</v>
      </c>
      <c r="BQ106" s="100"/>
      <c r="BR106" s="104">
        <v>18.699327590655564</v>
      </c>
      <c r="BS106" s="100"/>
      <c r="BT106" s="120">
        <v>19.602221838232079</v>
      </c>
      <c r="BU106" s="116"/>
      <c r="BV106" s="120">
        <v>16.805253800459496</v>
      </c>
      <c r="BW106" s="116"/>
      <c r="BX106" s="38"/>
      <c r="BY106" s="55"/>
      <c r="BZ106" s="38"/>
      <c r="CA106" s="55"/>
      <c r="CB106" s="38"/>
      <c r="CC106" s="55"/>
      <c r="CD106" s="38"/>
      <c r="CE106" s="55"/>
      <c r="CF106" s="38"/>
      <c r="CG106" s="55"/>
      <c r="CH106" s="38"/>
      <c r="CI106" s="55"/>
      <c r="CJ106" s="38"/>
      <c r="CK106" s="55"/>
      <c r="CL106" s="156">
        <v>19.75470020338232</v>
      </c>
      <c r="CM106" s="152" t="s">
        <v>203</v>
      </c>
      <c r="CN106" s="156">
        <v>14.47809728189822</v>
      </c>
      <c r="CO106" s="152"/>
      <c r="CP106" s="156">
        <v>13.370844414487678</v>
      </c>
      <c r="CQ106" s="152"/>
      <c r="CR106" s="173">
        <v>18.184966719553511</v>
      </c>
      <c r="CS106" s="169"/>
      <c r="CT106" s="173">
        <v>19.788827731351702</v>
      </c>
      <c r="CU106" s="169"/>
      <c r="CV106" s="173">
        <v>17.099893715604743</v>
      </c>
      <c r="CW106" s="169"/>
      <c r="CX106" s="38"/>
      <c r="CY106" s="55"/>
      <c r="CZ106" s="38"/>
      <c r="DA106" s="55"/>
      <c r="DB106" s="72">
        <v>19.485047606275984</v>
      </c>
      <c r="DC106" s="68"/>
      <c r="DD106" s="72">
        <v>17.808268421595383</v>
      </c>
      <c r="DE106" s="68"/>
      <c r="DF106" s="72">
        <v>15.26456637889761</v>
      </c>
      <c r="DG106" s="68"/>
    </row>
    <row r="107" spans="1:111" outlineLevel="1" x14ac:dyDescent="0.2">
      <c r="A107" s="30"/>
      <c r="B107" s="32" t="s">
        <v>116</v>
      </c>
      <c r="C107" s="38">
        <v>39.33019150171198</v>
      </c>
      <c r="D107" s="72">
        <v>38.115787799245972</v>
      </c>
      <c r="E107" s="68"/>
      <c r="F107" s="72">
        <v>41.452443498924936</v>
      </c>
      <c r="G107" s="68"/>
      <c r="H107" s="88">
        <v>38.624013319987405</v>
      </c>
      <c r="I107" s="84"/>
      <c r="J107" s="88">
        <v>41.133086531321283</v>
      </c>
      <c r="K107" s="84"/>
      <c r="L107" s="136"/>
      <c r="M107" s="132"/>
      <c r="N107" s="136"/>
      <c r="O107" s="132"/>
      <c r="P107" s="104">
        <v>44.683525156075802</v>
      </c>
      <c r="Q107" s="100"/>
      <c r="R107" s="104">
        <v>43.644194626200758</v>
      </c>
      <c r="S107" s="100"/>
      <c r="T107" s="104">
        <v>31.52978577740085</v>
      </c>
      <c r="U107" s="100"/>
      <c r="V107" s="120">
        <v>44.442832546260419</v>
      </c>
      <c r="W107" s="116" t="s">
        <v>185</v>
      </c>
      <c r="X107" s="120">
        <v>46.099065412871965</v>
      </c>
      <c r="Y107" s="116" t="s">
        <v>185</v>
      </c>
      <c r="Z107" s="120">
        <v>29.282730419138765</v>
      </c>
      <c r="AA107" s="116"/>
      <c r="AB107" s="156">
        <v>34.504576910680797</v>
      </c>
      <c r="AC107" s="152"/>
      <c r="AD107" s="156">
        <v>36.493273898408304</v>
      </c>
      <c r="AE107" s="152"/>
      <c r="AF107" s="156">
        <v>47.752973786810053</v>
      </c>
      <c r="AG107" s="152" t="s">
        <v>240</v>
      </c>
      <c r="AH107" s="156">
        <v>47.697588705332642</v>
      </c>
      <c r="AI107" s="152" t="s">
        <v>240</v>
      </c>
      <c r="AJ107" s="173">
        <v>35.905446399855187</v>
      </c>
      <c r="AK107" s="169"/>
      <c r="AL107" s="173">
        <v>42.424479898055594</v>
      </c>
      <c r="AM107" s="169" t="s">
        <v>186</v>
      </c>
      <c r="AN107" s="38"/>
      <c r="AO107" s="55"/>
      <c r="AP107" s="38"/>
      <c r="AQ107" s="55"/>
      <c r="AR107" s="38"/>
      <c r="AS107" s="55"/>
      <c r="AT107" s="38"/>
      <c r="AU107" s="55"/>
      <c r="AV107" s="38"/>
      <c r="AW107" s="55"/>
      <c r="AX107" s="38"/>
      <c r="AY107" s="55"/>
      <c r="AZ107" s="38"/>
      <c r="BA107" s="55"/>
      <c r="BB107" s="38"/>
      <c r="BC107" s="55"/>
      <c r="BD107" s="72">
        <v>37.500246528431454</v>
      </c>
      <c r="BE107" s="68"/>
      <c r="BF107" s="72">
        <v>38.641156665241397</v>
      </c>
      <c r="BG107" s="68"/>
      <c r="BH107" s="72">
        <v>42.332816851982038</v>
      </c>
      <c r="BI107" s="68"/>
      <c r="BJ107" s="72">
        <v>39.067825445937792</v>
      </c>
      <c r="BK107" s="68"/>
      <c r="BL107" s="88">
        <v>42.066876286560955</v>
      </c>
      <c r="BM107" s="84"/>
      <c r="BN107" s="88">
        <v>36.885435286493689</v>
      </c>
      <c r="BO107" s="84"/>
      <c r="BP107" s="104">
        <v>38.967505936058522</v>
      </c>
      <c r="BQ107" s="100"/>
      <c r="BR107" s="104">
        <v>39.464399175432973</v>
      </c>
      <c r="BS107" s="100"/>
      <c r="BT107" s="120">
        <v>38.306718263857839</v>
      </c>
      <c r="BU107" s="116"/>
      <c r="BV107" s="120">
        <v>40.006239768051515</v>
      </c>
      <c r="BW107" s="116"/>
      <c r="BX107" s="38"/>
      <c r="BY107" s="55"/>
      <c r="BZ107" s="38"/>
      <c r="CA107" s="55"/>
      <c r="CB107" s="38"/>
      <c r="CC107" s="55"/>
      <c r="CD107" s="38"/>
      <c r="CE107" s="55"/>
      <c r="CF107" s="38"/>
      <c r="CG107" s="55"/>
      <c r="CH107" s="38"/>
      <c r="CI107" s="55"/>
      <c r="CJ107" s="38"/>
      <c r="CK107" s="55"/>
      <c r="CL107" s="156">
        <v>38.305324247623872</v>
      </c>
      <c r="CM107" s="152"/>
      <c r="CN107" s="156">
        <v>41.666190299923628</v>
      </c>
      <c r="CO107" s="152"/>
      <c r="CP107" s="156">
        <v>39.869199641495655</v>
      </c>
      <c r="CQ107" s="152"/>
      <c r="CR107" s="173">
        <v>40.527916529961615</v>
      </c>
      <c r="CS107" s="169"/>
      <c r="CT107" s="173">
        <v>35.701125310647939</v>
      </c>
      <c r="CU107" s="169"/>
      <c r="CV107" s="173">
        <v>40.676848183113513</v>
      </c>
      <c r="CW107" s="169"/>
      <c r="CX107" s="38"/>
      <c r="CY107" s="55"/>
      <c r="CZ107" s="38"/>
      <c r="DA107" s="55"/>
      <c r="DB107" s="72">
        <v>36.732787888827616</v>
      </c>
      <c r="DC107" s="68"/>
      <c r="DD107" s="72">
        <v>41.009917951950548</v>
      </c>
      <c r="DE107" s="68"/>
      <c r="DF107" s="72">
        <v>40.121118805316563</v>
      </c>
      <c r="DG107" s="68"/>
    </row>
    <row r="108" spans="1:111" outlineLevel="1" x14ac:dyDescent="0.2">
      <c r="A108" s="30"/>
      <c r="B108" s="32" t="s">
        <v>117</v>
      </c>
      <c r="C108" s="38">
        <v>32.52804932829072</v>
      </c>
      <c r="D108" s="72">
        <v>30.692033968695185</v>
      </c>
      <c r="E108" s="68"/>
      <c r="F108" s="72">
        <v>35.736609427294809</v>
      </c>
      <c r="G108" s="68"/>
      <c r="H108" s="88">
        <v>30.898318607816474</v>
      </c>
      <c r="I108" s="84"/>
      <c r="J108" s="88">
        <v>36.688802933519725</v>
      </c>
      <c r="K108" s="84"/>
      <c r="L108" s="136"/>
      <c r="M108" s="132"/>
      <c r="N108" s="136"/>
      <c r="O108" s="132"/>
      <c r="P108" s="104">
        <v>31.776839465871863</v>
      </c>
      <c r="Q108" s="100"/>
      <c r="R108" s="104">
        <v>39.459574690240849</v>
      </c>
      <c r="S108" s="100"/>
      <c r="T108" s="104">
        <v>39.89579064318896</v>
      </c>
      <c r="U108" s="100"/>
      <c r="V108" s="120">
        <v>33.940753833878624</v>
      </c>
      <c r="W108" s="116"/>
      <c r="X108" s="120">
        <v>37.724905595182271</v>
      </c>
      <c r="Y108" s="116"/>
      <c r="Z108" s="120">
        <v>38.634898970096017</v>
      </c>
      <c r="AA108" s="116"/>
      <c r="AB108" s="156">
        <v>29.977735752346501</v>
      </c>
      <c r="AC108" s="152"/>
      <c r="AD108" s="156">
        <v>33.053826683240963</v>
      </c>
      <c r="AE108" s="152"/>
      <c r="AF108" s="156">
        <v>36.800243748146364</v>
      </c>
      <c r="AG108" s="152"/>
      <c r="AH108" s="156">
        <v>30.026824331468681</v>
      </c>
      <c r="AI108" s="152"/>
      <c r="AJ108" s="173">
        <v>27.798096881991707</v>
      </c>
      <c r="AK108" s="169"/>
      <c r="AL108" s="173">
        <v>36.801604449781365</v>
      </c>
      <c r="AM108" s="169" t="s">
        <v>186</v>
      </c>
      <c r="AN108" s="38"/>
      <c r="AO108" s="55"/>
      <c r="AP108" s="38"/>
      <c r="AQ108" s="55"/>
      <c r="AR108" s="38"/>
      <c r="AS108" s="55"/>
      <c r="AT108" s="38"/>
      <c r="AU108" s="55"/>
      <c r="AV108" s="38"/>
      <c r="AW108" s="55"/>
      <c r="AX108" s="38"/>
      <c r="AY108" s="55"/>
      <c r="AZ108" s="38"/>
      <c r="BA108" s="55"/>
      <c r="BB108" s="38"/>
      <c r="BC108" s="55"/>
      <c r="BD108" s="72">
        <v>32.045244690674053</v>
      </c>
      <c r="BE108" s="68"/>
      <c r="BF108" s="72">
        <v>33.441116477292638</v>
      </c>
      <c r="BG108" s="68"/>
      <c r="BH108" s="72">
        <v>35.914418768054013</v>
      </c>
      <c r="BI108" s="68"/>
      <c r="BJ108" s="72">
        <v>28.168298678340562</v>
      </c>
      <c r="BK108" s="68"/>
      <c r="BL108" s="88">
        <v>34.995525595493923</v>
      </c>
      <c r="BM108" s="84"/>
      <c r="BN108" s="88">
        <v>29.870672302651201</v>
      </c>
      <c r="BO108" s="84"/>
      <c r="BP108" s="104">
        <v>35.135720486341313</v>
      </c>
      <c r="BQ108" s="100"/>
      <c r="BR108" s="104">
        <v>31.532430161713062</v>
      </c>
      <c r="BS108" s="100"/>
      <c r="BT108" s="120">
        <v>32.484517180886876</v>
      </c>
      <c r="BU108" s="116"/>
      <c r="BV108" s="120">
        <v>32.392248547351009</v>
      </c>
      <c r="BW108" s="116"/>
      <c r="BX108" s="38"/>
      <c r="BY108" s="55"/>
      <c r="BZ108" s="38"/>
      <c r="CA108" s="55"/>
      <c r="CB108" s="38"/>
      <c r="CC108" s="55"/>
      <c r="CD108" s="38"/>
      <c r="CE108" s="55"/>
      <c r="CF108" s="38"/>
      <c r="CG108" s="55"/>
      <c r="CH108" s="38"/>
      <c r="CI108" s="55"/>
      <c r="CJ108" s="38"/>
      <c r="CK108" s="55"/>
      <c r="CL108" s="156">
        <v>31.778564549528156</v>
      </c>
      <c r="CM108" s="152"/>
      <c r="CN108" s="156">
        <v>34.043135399046953</v>
      </c>
      <c r="CO108" s="152"/>
      <c r="CP108" s="156">
        <v>28.937503510558539</v>
      </c>
      <c r="CQ108" s="152"/>
      <c r="CR108" s="173">
        <v>31.29727839431855</v>
      </c>
      <c r="CS108" s="169"/>
      <c r="CT108" s="173">
        <v>36.387832746858734</v>
      </c>
      <c r="CU108" s="169"/>
      <c r="CV108" s="173">
        <v>30.97969863928742</v>
      </c>
      <c r="CW108" s="169"/>
      <c r="CX108" s="38"/>
      <c r="CY108" s="55"/>
      <c r="CZ108" s="38"/>
      <c r="DA108" s="55"/>
      <c r="DB108" s="72">
        <v>35.645341072535423</v>
      </c>
      <c r="DC108" s="68" t="s">
        <v>207</v>
      </c>
      <c r="DD108" s="72">
        <v>29.400750763617669</v>
      </c>
      <c r="DE108" s="68"/>
      <c r="DF108" s="72">
        <v>34.578546642942094</v>
      </c>
      <c r="DG108" s="68"/>
    </row>
    <row r="109" spans="1:111" outlineLevel="1" x14ac:dyDescent="0.2">
      <c r="A109" s="30"/>
      <c r="B109" s="32" t="s">
        <v>118</v>
      </c>
      <c r="C109" s="38">
        <v>12.614351675458851</v>
      </c>
      <c r="D109" s="72">
        <v>13.409283002371868</v>
      </c>
      <c r="E109" s="68"/>
      <c r="F109" s="72">
        <v>11.225155815167486</v>
      </c>
      <c r="G109" s="68"/>
      <c r="H109" s="88">
        <v>13.444696216078741</v>
      </c>
      <c r="I109" s="84"/>
      <c r="J109" s="88">
        <v>10.4944560402087</v>
      </c>
      <c r="K109" s="84"/>
      <c r="L109" s="136"/>
      <c r="M109" s="132"/>
      <c r="N109" s="136"/>
      <c r="O109" s="132"/>
      <c r="P109" s="104">
        <v>12.47031462913751</v>
      </c>
      <c r="Q109" s="100"/>
      <c r="R109" s="104">
        <v>13.249512738410136</v>
      </c>
      <c r="S109" s="100"/>
      <c r="T109" s="104">
        <v>8.0407503831748901</v>
      </c>
      <c r="U109" s="100"/>
      <c r="V109" s="120">
        <v>11.783760465142915</v>
      </c>
      <c r="W109" s="116"/>
      <c r="X109" s="120">
        <v>12.940247303600957</v>
      </c>
      <c r="Y109" s="116"/>
      <c r="Z109" s="120">
        <v>6.3737095673480679</v>
      </c>
      <c r="AA109" s="116"/>
      <c r="AB109" s="156">
        <v>10.352485729258886</v>
      </c>
      <c r="AC109" s="152"/>
      <c r="AD109" s="156">
        <v>12.529262955939192</v>
      </c>
      <c r="AE109" s="152"/>
      <c r="AF109" s="156">
        <v>15.352567755988225</v>
      </c>
      <c r="AG109" s="152"/>
      <c r="AH109" s="156">
        <v>13.562210798209529</v>
      </c>
      <c r="AI109" s="152"/>
      <c r="AJ109" s="173">
        <v>12.302189524895706</v>
      </c>
      <c r="AK109" s="169"/>
      <c r="AL109" s="173">
        <v>12.896393022051775</v>
      </c>
      <c r="AM109" s="169"/>
      <c r="AN109" s="38"/>
      <c r="AO109" s="55"/>
      <c r="AP109" s="38"/>
      <c r="AQ109" s="55"/>
      <c r="AR109" s="38"/>
      <c r="AS109" s="55"/>
      <c r="AT109" s="38"/>
      <c r="AU109" s="55"/>
      <c r="AV109" s="38"/>
      <c r="AW109" s="55"/>
      <c r="AX109" s="38"/>
      <c r="AY109" s="55"/>
      <c r="AZ109" s="38"/>
      <c r="BA109" s="55"/>
      <c r="BB109" s="38"/>
      <c r="BC109" s="55"/>
      <c r="BD109" s="72">
        <v>9.401294498381878</v>
      </c>
      <c r="BE109" s="68"/>
      <c r="BF109" s="72">
        <v>12.397351333795962</v>
      </c>
      <c r="BG109" s="68"/>
      <c r="BH109" s="72">
        <v>11.119816289643053</v>
      </c>
      <c r="BI109" s="68"/>
      <c r="BJ109" s="72">
        <v>17.124509858347505</v>
      </c>
      <c r="BK109" s="68" t="s">
        <v>191</v>
      </c>
      <c r="BL109" s="88">
        <v>10.800660528875518</v>
      </c>
      <c r="BM109" s="84"/>
      <c r="BN109" s="88">
        <v>14.577561026148047</v>
      </c>
      <c r="BO109" s="84"/>
      <c r="BP109" s="104">
        <v>11.444467428438744</v>
      </c>
      <c r="BQ109" s="100"/>
      <c r="BR109" s="104">
        <v>13.117816870695291</v>
      </c>
      <c r="BS109" s="100"/>
      <c r="BT109" s="120">
        <v>16.353447489248772</v>
      </c>
      <c r="BU109" s="116" t="s">
        <v>200</v>
      </c>
      <c r="BV109" s="120">
        <v>9.833591643885546</v>
      </c>
      <c r="BW109" s="116"/>
      <c r="BX109" s="38"/>
      <c r="BY109" s="55"/>
      <c r="BZ109" s="38"/>
      <c r="CA109" s="55"/>
      <c r="CB109" s="38"/>
      <c r="CC109" s="55"/>
      <c r="CD109" s="38"/>
      <c r="CE109" s="55"/>
      <c r="CF109" s="38"/>
      <c r="CG109" s="55"/>
      <c r="CH109" s="38"/>
      <c r="CI109" s="55"/>
      <c r="CJ109" s="38"/>
      <c r="CK109" s="55"/>
      <c r="CL109" s="156">
        <v>13.886420255771473</v>
      </c>
      <c r="CM109" s="152" t="s">
        <v>202</v>
      </c>
      <c r="CN109" s="156">
        <v>7.7974519845750896</v>
      </c>
      <c r="CO109" s="152"/>
      <c r="CP109" s="156">
        <v>13.682264536154479</v>
      </c>
      <c r="CQ109" s="152"/>
      <c r="CR109" s="173">
        <v>13.046604671663399</v>
      </c>
      <c r="CS109" s="169"/>
      <c r="CT109" s="173">
        <v>12.990250179006928</v>
      </c>
      <c r="CU109" s="169"/>
      <c r="CV109" s="173">
        <v>12.798299129300933</v>
      </c>
      <c r="CW109" s="169"/>
      <c r="CX109" s="38"/>
      <c r="CY109" s="55"/>
      <c r="CZ109" s="38"/>
      <c r="DA109" s="55"/>
      <c r="DB109" s="72">
        <v>12.374906684240987</v>
      </c>
      <c r="DC109" s="68"/>
      <c r="DD109" s="72">
        <v>13.126616741636518</v>
      </c>
      <c r="DE109" s="68"/>
      <c r="DF109" s="72">
        <v>11.722542083590401</v>
      </c>
      <c r="DG109" s="68"/>
    </row>
    <row r="110" spans="1:111" outlineLevel="1" x14ac:dyDescent="0.2">
      <c r="A110" s="30"/>
      <c r="B110" s="32" t="s">
        <v>119</v>
      </c>
      <c r="C110" s="38">
        <v>31.528740599436922</v>
      </c>
      <c r="D110" s="72">
        <v>32.556642969415762</v>
      </c>
      <c r="E110" s="68"/>
      <c r="F110" s="72">
        <v>29.732412201229849</v>
      </c>
      <c r="G110" s="68"/>
      <c r="H110" s="88">
        <v>31.377901262129541</v>
      </c>
      <c r="I110" s="84"/>
      <c r="J110" s="88">
        <v>31.913838154896528</v>
      </c>
      <c r="K110" s="84"/>
      <c r="L110" s="136"/>
      <c r="M110" s="132"/>
      <c r="N110" s="136"/>
      <c r="O110" s="132"/>
      <c r="P110" s="104">
        <v>25.618280523719974</v>
      </c>
      <c r="Q110" s="100"/>
      <c r="R110" s="104">
        <v>24.018863984407631</v>
      </c>
      <c r="S110" s="100"/>
      <c r="T110" s="104">
        <v>36.546948696020898</v>
      </c>
      <c r="U110" s="100"/>
      <c r="V110" s="120">
        <v>29.760327707384491</v>
      </c>
      <c r="W110" s="116"/>
      <c r="X110" s="120">
        <v>22.254033286439437</v>
      </c>
      <c r="Y110" s="116"/>
      <c r="Z110" s="120">
        <v>41.862591732819219</v>
      </c>
      <c r="AA110" s="116" t="s">
        <v>184</v>
      </c>
      <c r="AB110" s="156">
        <v>33.610372328095572</v>
      </c>
      <c r="AC110" s="152"/>
      <c r="AD110" s="156">
        <v>27.733401336570992</v>
      </c>
      <c r="AE110" s="152"/>
      <c r="AF110" s="156">
        <v>35.313931081724235</v>
      </c>
      <c r="AG110" s="152"/>
      <c r="AH110" s="156">
        <v>36.95319147864879</v>
      </c>
      <c r="AI110" s="152" t="s">
        <v>171</v>
      </c>
      <c r="AJ110" s="173">
        <v>29.628306747899984</v>
      </c>
      <c r="AK110" s="169"/>
      <c r="AL110" s="173">
        <v>33.245799895803572</v>
      </c>
      <c r="AM110" s="169"/>
      <c r="AN110" s="38"/>
      <c r="AO110" s="55"/>
      <c r="AP110" s="38"/>
      <c r="AQ110" s="55"/>
      <c r="AR110" s="38"/>
      <c r="AS110" s="55"/>
      <c r="AT110" s="38"/>
      <c r="AU110" s="55"/>
      <c r="AV110" s="38"/>
      <c r="AW110" s="55"/>
      <c r="AX110" s="38"/>
      <c r="AY110" s="55"/>
      <c r="AZ110" s="38"/>
      <c r="BA110" s="55"/>
      <c r="BB110" s="38"/>
      <c r="BC110" s="55"/>
      <c r="BD110" s="72">
        <v>28.379187621583341</v>
      </c>
      <c r="BE110" s="68"/>
      <c r="BF110" s="72">
        <v>32.100731560857874</v>
      </c>
      <c r="BG110" s="68"/>
      <c r="BH110" s="72">
        <v>32.570075715622025</v>
      </c>
      <c r="BI110" s="68"/>
      <c r="BJ110" s="72">
        <v>32.245892024763222</v>
      </c>
      <c r="BK110" s="68"/>
      <c r="BL110" s="88">
        <v>29.972393512339675</v>
      </c>
      <c r="BM110" s="84"/>
      <c r="BN110" s="88">
        <v>32.996479024837221</v>
      </c>
      <c r="BO110" s="84"/>
      <c r="BP110" s="104">
        <v>24.390290617874591</v>
      </c>
      <c r="BQ110" s="100"/>
      <c r="BR110" s="104">
        <v>34.505940591322677</v>
      </c>
      <c r="BS110" s="100" t="s">
        <v>197</v>
      </c>
      <c r="BT110" s="120">
        <v>31.8987738640473</v>
      </c>
      <c r="BU110" s="116"/>
      <c r="BV110" s="120">
        <v>31.242765336433759</v>
      </c>
      <c r="BW110" s="116"/>
      <c r="BX110" s="38"/>
      <c r="BY110" s="55"/>
      <c r="BZ110" s="38"/>
      <c r="CA110" s="55"/>
      <c r="CB110" s="38"/>
      <c r="CC110" s="55"/>
      <c r="CD110" s="38"/>
      <c r="CE110" s="55"/>
      <c r="CF110" s="38"/>
      <c r="CG110" s="55"/>
      <c r="CH110" s="38"/>
      <c r="CI110" s="55"/>
      <c r="CJ110" s="38"/>
      <c r="CK110" s="55"/>
      <c r="CL110" s="156">
        <v>34.202178231835333</v>
      </c>
      <c r="CM110" s="152" t="s">
        <v>202</v>
      </c>
      <c r="CN110" s="156">
        <v>25.803130900895415</v>
      </c>
      <c r="CO110" s="152"/>
      <c r="CP110" s="156">
        <v>33.484891777111891</v>
      </c>
      <c r="CQ110" s="152"/>
      <c r="CR110" s="173">
        <v>30.54179844088921</v>
      </c>
      <c r="CS110" s="169"/>
      <c r="CT110" s="173">
        <v>35.224173824528066</v>
      </c>
      <c r="CU110" s="169"/>
      <c r="CV110" s="173">
        <v>27.894607849026499</v>
      </c>
      <c r="CW110" s="169"/>
      <c r="CX110" s="38"/>
      <c r="CY110" s="55"/>
      <c r="CZ110" s="38"/>
      <c r="DA110" s="55"/>
      <c r="DB110" s="72">
        <v>26.620072730714924</v>
      </c>
      <c r="DC110" s="68"/>
      <c r="DD110" s="72">
        <v>34.85558802554543</v>
      </c>
      <c r="DE110" s="68" t="s">
        <v>206</v>
      </c>
      <c r="DF110" s="72">
        <v>32.612007697581298</v>
      </c>
      <c r="DG110" s="68"/>
    </row>
    <row r="111" spans="1:111" outlineLevel="1" x14ac:dyDescent="0.2">
      <c r="A111" s="30"/>
      <c r="B111" s="32" t="s">
        <v>120</v>
      </c>
      <c r="C111" s="38">
        <v>17.96057112123157</v>
      </c>
      <c r="D111" s="72">
        <v>19.365061624511345</v>
      </c>
      <c r="E111" s="68"/>
      <c r="F111" s="72">
        <v>15.506129678407051</v>
      </c>
      <c r="G111" s="68"/>
      <c r="H111" s="88">
        <v>19.104884224721168</v>
      </c>
      <c r="I111" s="84"/>
      <c r="J111" s="88">
        <v>15.039103905181509</v>
      </c>
      <c r="K111" s="84"/>
      <c r="L111" s="136"/>
      <c r="M111" s="132"/>
      <c r="N111" s="136"/>
      <c r="O111" s="132"/>
      <c r="P111" s="104">
        <v>13.138317176399111</v>
      </c>
      <c r="Q111" s="100"/>
      <c r="R111" s="104">
        <v>16.673917583182515</v>
      </c>
      <c r="S111" s="100"/>
      <c r="T111" s="104">
        <v>20.371282848215362</v>
      </c>
      <c r="U111" s="100"/>
      <c r="V111" s="120">
        <v>13.052462195685289</v>
      </c>
      <c r="W111" s="116"/>
      <c r="X111" s="120">
        <v>16.605272683894004</v>
      </c>
      <c r="Y111" s="116"/>
      <c r="Z111" s="120">
        <v>17.594656601438963</v>
      </c>
      <c r="AA111" s="116"/>
      <c r="AB111" s="156">
        <v>17.830276187194738</v>
      </c>
      <c r="AC111" s="152"/>
      <c r="AD111" s="156">
        <v>21.683233818434214</v>
      </c>
      <c r="AE111" s="152" t="s">
        <v>244</v>
      </c>
      <c r="AF111" s="156">
        <v>11.225650170629105</v>
      </c>
      <c r="AG111" s="152"/>
      <c r="AH111" s="156">
        <v>12.917281364705172</v>
      </c>
      <c r="AI111" s="152"/>
      <c r="AJ111" s="173">
        <v>21.478182058814603</v>
      </c>
      <c r="AK111" s="169" t="s">
        <v>187</v>
      </c>
      <c r="AL111" s="173">
        <v>14.782377596372369</v>
      </c>
      <c r="AM111" s="169"/>
      <c r="AN111" s="38"/>
      <c r="AO111" s="55"/>
      <c r="AP111" s="38"/>
      <c r="AQ111" s="55"/>
      <c r="AR111" s="38"/>
      <c r="AS111" s="55"/>
      <c r="AT111" s="38"/>
      <c r="AU111" s="55"/>
      <c r="AV111" s="38"/>
      <c r="AW111" s="55"/>
      <c r="AX111" s="38"/>
      <c r="AY111" s="55"/>
      <c r="AZ111" s="38"/>
      <c r="BA111" s="55"/>
      <c r="BB111" s="38"/>
      <c r="BC111" s="55"/>
      <c r="BD111" s="72">
        <v>18.684479466422829</v>
      </c>
      <c r="BE111" s="68"/>
      <c r="BF111" s="72">
        <v>16.814731219727609</v>
      </c>
      <c r="BG111" s="68"/>
      <c r="BH111" s="72">
        <v>19.403104562018761</v>
      </c>
      <c r="BI111" s="68"/>
      <c r="BJ111" s="72">
        <v>17.800879847459875</v>
      </c>
      <c r="BK111" s="68"/>
      <c r="BL111" s="88">
        <v>17.394837921596128</v>
      </c>
      <c r="BM111" s="84"/>
      <c r="BN111" s="88">
        <v>18.584134702386088</v>
      </c>
      <c r="BO111" s="84"/>
      <c r="BP111" s="104">
        <v>18.32440198888164</v>
      </c>
      <c r="BQ111" s="100"/>
      <c r="BR111" s="104">
        <v>17.753861237141379</v>
      </c>
      <c r="BS111" s="100"/>
      <c r="BT111" s="120">
        <v>19.357635950819969</v>
      </c>
      <c r="BU111" s="116"/>
      <c r="BV111" s="120">
        <v>16.985572266306921</v>
      </c>
      <c r="BW111" s="116"/>
      <c r="BX111" s="38"/>
      <c r="BY111" s="55"/>
      <c r="BZ111" s="38"/>
      <c r="CA111" s="55"/>
      <c r="CB111" s="38"/>
      <c r="CC111" s="55"/>
      <c r="CD111" s="38"/>
      <c r="CE111" s="55"/>
      <c r="CF111" s="38"/>
      <c r="CG111" s="55"/>
      <c r="CH111" s="38"/>
      <c r="CI111" s="55"/>
      <c r="CJ111" s="38"/>
      <c r="CK111" s="55"/>
      <c r="CL111" s="156">
        <v>17.081973946960598</v>
      </c>
      <c r="CM111" s="152"/>
      <c r="CN111" s="156">
        <v>18.574273384531047</v>
      </c>
      <c r="CO111" s="152"/>
      <c r="CP111" s="156">
        <v>15.873292647486196</v>
      </c>
      <c r="CQ111" s="152"/>
      <c r="CR111" s="173">
        <v>18.969943076370352</v>
      </c>
      <c r="CS111" s="169"/>
      <c r="CT111" s="173">
        <v>18.937421496816803</v>
      </c>
      <c r="CU111" s="169"/>
      <c r="CV111" s="173">
        <v>17.425634963160881</v>
      </c>
      <c r="CW111" s="169"/>
      <c r="CX111" s="38"/>
      <c r="CY111" s="55"/>
      <c r="CZ111" s="38"/>
      <c r="DA111" s="55"/>
      <c r="DB111" s="72">
        <v>19.507397970586922</v>
      </c>
      <c r="DC111" s="68" t="s">
        <v>208</v>
      </c>
      <c r="DD111" s="72">
        <v>19.01925420370981</v>
      </c>
      <c r="DE111" s="68" t="s">
        <v>208</v>
      </c>
      <c r="DF111" s="72">
        <v>11.931986076923868</v>
      </c>
      <c r="DG111" s="68"/>
    </row>
    <row r="112" spans="1:111" outlineLevel="1" x14ac:dyDescent="0.2">
      <c r="A112" s="30"/>
      <c r="B112" s="32" t="s">
        <v>121</v>
      </c>
      <c r="C112" s="38">
        <v>17.685307121286122</v>
      </c>
      <c r="D112" s="72">
        <v>16.734282161449801</v>
      </c>
      <c r="E112" s="68"/>
      <c r="F112" s="72">
        <v>19.347287084220639</v>
      </c>
      <c r="G112" s="68"/>
      <c r="H112" s="88">
        <v>17.880227823409573</v>
      </c>
      <c r="I112" s="84"/>
      <c r="J112" s="88">
        <v>17.187668459938486</v>
      </c>
      <c r="K112" s="84"/>
      <c r="L112" s="136"/>
      <c r="M112" s="132"/>
      <c r="N112" s="136"/>
      <c r="O112" s="132"/>
      <c r="P112" s="104">
        <v>22.523096230090182</v>
      </c>
      <c r="Q112" s="100"/>
      <c r="R112" s="104">
        <v>19.899154253097592</v>
      </c>
      <c r="S112" s="100"/>
      <c r="T112" s="104">
        <v>15.024956707751858</v>
      </c>
      <c r="U112" s="100"/>
      <c r="V112" s="120">
        <v>18.455014678878069</v>
      </c>
      <c r="W112" s="116"/>
      <c r="X112" s="120">
        <v>18.969609464340071</v>
      </c>
      <c r="Y112" s="116"/>
      <c r="Z112" s="120">
        <v>13.577610476230532</v>
      </c>
      <c r="AA112" s="116"/>
      <c r="AB112" s="156">
        <v>21.012249972276322</v>
      </c>
      <c r="AC112" s="152" t="s">
        <v>172</v>
      </c>
      <c r="AD112" s="156">
        <v>18.521208360824129</v>
      </c>
      <c r="AE112" s="152"/>
      <c r="AF112" s="156">
        <v>13.206319948614087</v>
      </c>
      <c r="AG112" s="152"/>
      <c r="AH112" s="156">
        <v>14.313820761604577</v>
      </c>
      <c r="AI112" s="152"/>
      <c r="AJ112" s="173">
        <v>19.308662008087776</v>
      </c>
      <c r="AK112" s="169"/>
      <c r="AL112" s="173">
        <v>16.218591193535865</v>
      </c>
      <c r="AM112" s="169"/>
      <c r="AN112" s="38"/>
      <c r="AO112" s="55"/>
      <c r="AP112" s="38"/>
      <c r="AQ112" s="55"/>
      <c r="AR112" s="38"/>
      <c r="AS112" s="55"/>
      <c r="AT112" s="38"/>
      <c r="AU112" s="55"/>
      <c r="AV112" s="38"/>
      <c r="AW112" s="55"/>
      <c r="AX112" s="38"/>
      <c r="AY112" s="55"/>
      <c r="AZ112" s="38"/>
      <c r="BA112" s="55"/>
      <c r="BB112" s="38"/>
      <c r="BC112" s="55"/>
      <c r="BD112" s="72">
        <v>17.683125801217404</v>
      </c>
      <c r="BE112" s="68"/>
      <c r="BF112" s="72">
        <v>19.984088376103124</v>
      </c>
      <c r="BG112" s="68"/>
      <c r="BH112" s="72">
        <v>16.431490827889682</v>
      </c>
      <c r="BI112" s="68"/>
      <c r="BJ112" s="72">
        <v>15.190038818576873</v>
      </c>
      <c r="BK112" s="68"/>
      <c r="BL112" s="88">
        <v>18.261162259370689</v>
      </c>
      <c r="BM112" s="84"/>
      <c r="BN112" s="88">
        <v>17.424959077476032</v>
      </c>
      <c r="BO112" s="84"/>
      <c r="BP112" s="104">
        <v>18.153524831259173</v>
      </c>
      <c r="BQ112" s="100"/>
      <c r="BR112" s="104">
        <v>17.531267076578665</v>
      </c>
      <c r="BS112" s="100"/>
      <c r="BT112" s="120">
        <v>16.4917433211941</v>
      </c>
      <c r="BU112" s="116"/>
      <c r="BV112" s="120">
        <v>18.677846100663945</v>
      </c>
      <c r="BW112" s="116"/>
      <c r="BX112" s="38"/>
      <c r="BY112" s="55"/>
      <c r="BZ112" s="38"/>
      <c r="CA112" s="55"/>
      <c r="CB112" s="38"/>
      <c r="CC112" s="55"/>
      <c r="CD112" s="38"/>
      <c r="CE112" s="55"/>
      <c r="CF112" s="38"/>
      <c r="CG112" s="55"/>
      <c r="CH112" s="38"/>
      <c r="CI112" s="55"/>
      <c r="CJ112" s="38"/>
      <c r="CK112" s="55"/>
      <c r="CL112" s="156">
        <v>16.053088119005835</v>
      </c>
      <c r="CM112" s="152"/>
      <c r="CN112" s="156">
        <v>23.326804766166404</v>
      </c>
      <c r="CO112" s="152" t="s">
        <v>201</v>
      </c>
      <c r="CP112" s="156">
        <v>15.789429982978369</v>
      </c>
      <c r="CQ112" s="152"/>
      <c r="CR112" s="173">
        <v>18.888150346976911</v>
      </c>
      <c r="CS112" s="169" t="s">
        <v>204</v>
      </c>
      <c r="CT112" s="173">
        <v>13.001928595181784</v>
      </c>
      <c r="CU112" s="169"/>
      <c r="CV112" s="173">
        <v>17.838197826736412</v>
      </c>
      <c r="CW112" s="169"/>
      <c r="CX112" s="38"/>
      <c r="CY112" s="55"/>
      <c r="CZ112" s="38"/>
      <c r="DA112" s="55"/>
      <c r="DB112" s="72">
        <v>18.969817924609714</v>
      </c>
      <c r="DC112" s="68"/>
      <c r="DD112" s="72">
        <v>16.65490799550907</v>
      </c>
      <c r="DE112" s="68"/>
      <c r="DF112" s="72">
        <v>17.833220051934664</v>
      </c>
      <c r="DG112" s="68"/>
    </row>
    <row r="113" spans="1:111" outlineLevel="1" x14ac:dyDescent="0.2">
      <c r="A113" s="30"/>
      <c r="B113" s="32" t="s">
        <v>122</v>
      </c>
      <c r="C113" s="38">
        <v>12.503305060258215</v>
      </c>
      <c r="D113" s="72">
        <v>12.151638819750129</v>
      </c>
      <c r="E113" s="68"/>
      <c r="F113" s="72">
        <v>13.117865424126627</v>
      </c>
      <c r="G113" s="68"/>
      <c r="H113" s="88">
        <v>12.801484406120114</v>
      </c>
      <c r="I113" s="84"/>
      <c r="J113" s="88">
        <v>11.742043845314255</v>
      </c>
      <c r="K113" s="84"/>
      <c r="L113" s="136"/>
      <c r="M113" s="132"/>
      <c r="N113" s="136"/>
      <c r="O113" s="132"/>
      <c r="P113" s="104">
        <v>16.387756461373069</v>
      </c>
      <c r="Q113" s="100"/>
      <c r="R113" s="104">
        <v>8.8974836419323413</v>
      </c>
      <c r="S113" s="100"/>
      <c r="T113" s="104">
        <v>16.602192210474946</v>
      </c>
      <c r="U113" s="100"/>
      <c r="V113" s="120">
        <v>14.285755189145648</v>
      </c>
      <c r="W113" s="116"/>
      <c r="X113" s="120">
        <v>8.515355694317611</v>
      </c>
      <c r="Y113" s="116"/>
      <c r="Z113" s="120">
        <v>16.323116602605761</v>
      </c>
      <c r="AA113" s="116"/>
      <c r="AB113" s="156">
        <v>14.618520308383752</v>
      </c>
      <c r="AC113" s="152" t="s">
        <v>173</v>
      </c>
      <c r="AD113" s="156">
        <v>13.217313233539654</v>
      </c>
      <c r="AE113" s="152"/>
      <c r="AF113" s="156">
        <v>11.091567081251004</v>
      </c>
      <c r="AG113" s="152"/>
      <c r="AH113" s="156">
        <v>8.0439007688550763</v>
      </c>
      <c r="AI113" s="152"/>
      <c r="AJ113" s="173">
        <v>14.210802580373594</v>
      </c>
      <c r="AK113" s="169"/>
      <c r="AL113" s="173">
        <v>10.960565496833789</v>
      </c>
      <c r="AM113" s="169"/>
      <c r="AN113" s="38"/>
      <c r="AO113" s="55"/>
      <c r="AP113" s="38"/>
      <c r="AQ113" s="55"/>
      <c r="AR113" s="38"/>
      <c r="AS113" s="55"/>
      <c r="AT113" s="38"/>
      <c r="AU113" s="55"/>
      <c r="AV113" s="38"/>
      <c r="AW113" s="55"/>
      <c r="AX113" s="38"/>
      <c r="AY113" s="55"/>
      <c r="AZ113" s="38"/>
      <c r="BA113" s="55"/>
      <c r="BB113" s="38"/>
      <c r="BC113" s="55"/>
      <c r="BD113" s="72">
        <v>12.591013814556831</v>
      </c>
      <c r="BE113" s="68"/>
      <c r="BF113" s="72">
        <v>15.322566701480644</v>
      </c>
      <c r="BG113" s="68" t="s">
        <v>194</v>
      </c>
      <c r="BH113" s="72">
        <v>11.541007025934048</v>
      </c>
      <c r="BI113" s="68"/>
      <c r="BJ113" s="72">
        <v>8.8077647727929325</v>
      </c>
      <c r="BK113" s="68"/>
      <c r="BL113" s="88">
        <v>13.087574366050626</v>
      </c>
      <c r="BM113" s="84"/>
      <c r="BN113" s="88">
        <v>11.87987345964841</v>
      </c>
      <c r="BO113" s="84"/>
      <c r="BP113" s="104">
        <v>13.43417413499148</v>
      </c>
      <c r="BQ113" s="100"/>
      <c r="BR113" s="104">
        <v>12.149757005580959</v>
      </c>
      <c r="BS113" s="100"/>
      <c r="BT113" s="120">
        <v>11.792000851903909</v>
      </c>
      <c r="BU113" s="116"/>
      <c r="BV113" s="120">
        <v>13.104295135613416</v>
      </c>
      <c r="BW113" s="116"/>
      <c r="BX113" s="38"/>
      <c r="BY113" s="55"/>
      <c r="BZ113" s="38"/>
      <c r="CA113" s="55"/>
      <c r="CB113" s="38"/>
      <c r="CC113" s="55"/>
      <c r="CD113" s="38"/>
      <c r="CE113" s="55"/>
      <c r="CF113" s="38"/>
      <c r="CG113" s="55"/>
      <c r="CH113" s="38"/>
      <c r="CI113" s="55"/>
      <c r="CJ113" s="38"/>
      <c r="CK113" s="55"/>
      <c r="CL113" s="156">
        <v>11.864366145612715</v>
      </c>
      <c r="CM113" s="152"/>
      <c r="CN113" s="156">
        <v>16.586933806888734</v>
      </c>
      <c r="CO113" s="152"/>
      <c r="CP113" s="156">
        <v>14.024943892116568</v>
      </c>
      <c r="CQ113" s="152"/>
      <c r="CR113" s="173">
        <v>13.516084663358345</v>
      </c>
      <c r="CS113" s="169"/>
      <c r="CT113" s="173">
        <v>13.101319371137995</v>
      </c>
      <c r="CU113" s="169"/>
      <c r="CV113" s="173">
        <v>10.2652945006836</v>
      </c>
      <c r="CW113" s="169"/>
      <c r="CX113" s="38"/>
      <c r="CY113" s="55"/>
      <c r="CZ113" s="38"/>
      <c r="DA113" s="55"/>
      <c r="DB113" s="72">
        <v>13.448082733160316</v>
      </c>
      <c r="DC113" s="68"/>
      <c r="DD113" s="72">
        <v>10.865883610578955</v>
      </c>
      <c r="DE113" s="68"/>
      <c r="DF113" s="72">
        <v>14.986124457952183</v>
      </c>
      <c r="DG113" s="68"/>
    </row>
    <row r="114" spans="1:111" outlineLevel="1" x14ac:dyDescent="0.2">
      <c r="A114" s="30"/>
      <c r="B114" s="32" t="s">
        <v>123</v>
      </c>
      <c r="C114" s="38">
        <v>16.431941329746564</v>
      </c>
      <c r="D114" s="72">
        <v>17.433058247957966</v>
      </c>
      <c r="E114" s="68"/>
      <c r="F114" s="72">
        <v>14.682422306703829</v>
      </c>
      <c r="G114" s="68"/>
      <c r="H114" s="88">
        <v>17.600418883046551</v>
      </c>
      <c r="I114" s="84"/>
      <c r="J114" s="88">
        <v>13.448781516015277</v>
      </c>
      <c r="K114" s="84"/>
      <c r="L114" s="136"/>
      <c r="M114" s="132"/>
      <c r="N114" s="136"/>
      <c r="O114" s="132"/>
      <c r="P114" s="104">
        <v>15.683773532756776</v>
      </c>
      <c r="Q114" s="100"/>
      <c r="R114" s="104">
        <v>15.046028818042602</v>
      </c>
      <c r="S114" s="100"/>
      <c r="T114" s="104">
        <v>11.658110870796031</v>
      </c>
      <c r="U114" s="100"/>
      <c r="V114" s="120">
        <v>11.401422457729032</v>
      </c>
      <c r="W114" s="116"/>
      <c r="X114" s="120">
        <v>17.78276196822733</v>
      </c>
      <c r="Y114" s="116"/>
      <c r="Z114" s="120">
        <v>9.4185133076185217</v>
      </c>
      <c r="AA114" s="116"/>
      <c r="AB114" s="156">
        <v>18.669849357496762</v>
      </c>
      <c r="AC114" s="152"/>
      <c r="AD114" s="156">
        <v>16.414543590813988</v>
      </c>
      <c r="AE114" s="152"/>
      <c r="AF114" s="156">
        <v>15.851894909542535</v>
      </c>
      <c r="AG114" s="152"/>
      <c r="AH114" s="156">
        <v>13.371318734989201</v>
      </c>
      <c r="AI114" s="152"/>
      <c r="AJ114" s="173">
        <v>17.260733344574835</v>
      </c>
      <c r="AK114" s="169"/>
      <c r="AL114" s="173">
        <v>15.683120194686047</v>
      </c>
      <c r="AM114" s="169"/>
      <c r="AN114" s="38"/>
      <c r="AO114" s="55"/>
      <c r="AP114" s="38"/>
      <c r="AQ114" s="55"/>
      <c r="AR114" s="38"/>
      <c r="AS114" s="55"/>
      <c r="AT114" s="38"/>
      <c r="AU114" s="55"/>
      <c r="AV114" s="38"/>
      <c r="AW114" s="55"/>
      <c r="AX114" s="38"/>
      <c r="AY114" s="55"/>
      <c r="AZ114" s="38"/>
      <c r="BA114" s="55"/>
      <c r="BB114" s="38"/>
      <c r="BC114" s="55"/>
      <c r="BD114" s="72">
        <v>13.660947207056989</v>
      </c>
      <c r="BE114" s="68"/>
      <c r="BF114" s="72">
        <v>16.786880036636454</v>
      </c>
      <c r="BG114" s="68"/>
      <c r="BH114" s="72">
        <v>15.73993434585441</v>
      </c>
      <c r="BI114" s="68"/>
      <c r="BJ114" s="72">
        <v>18.865360075439234</v>
      </c>
      <c r="BK114" s="68"/>
      <c r="BL114" s="88">
        <v>15.621652679439908</v>
      </c>
      <c r="BM114" s="84"/>
      <c r="BN114" s="88">
        <v>17.145778526253967</v>
      </c>
      <c r="BO114" s="84"/>
      <c r="BP114" s="104">
        <v>15.829253674345088</v>
      </c>
      <c r="BQ114" s="100"/>
      <c r="BR114" s="104">
        <v>16.712047978042953</v>
      </c>
      <c r="BS114" s="100"/>
      <c r="BT114" s="120">
        <v>17.301922939511854</v>
      </c>
      <c r="BU114" s="116"/>
      <c r="BV114" s="120">
        <v>15.850139063490241</v>
      </c>
      <c r="BW114" s="116"/>
      <c r="BX114" s="38"/>
      <c r="BY114" s="55"/>
      <c r="BZ114" s="38"/>
      <c r="CA114" s="55"/>
      <c r="CB114" s="38"/>
      <c r="CC114" s="55"/>
      <c r="CD114" s="38"/>
      <c r="CE114" s="55"/>
      <c r="CF114" s="38"/>
      <c r="CG114" s="55"/>
      <c r="CH114" s="38"/>
      <c r="CI114" s="55"/>
      <c r="CJ114" s="38"/>
      <c r="CK114" s="55"/>
      <c r="CL114" s="156">
        <v>15.093624584748273</v>
      </c>
      <c r="CM114" s="152"/>
      <c r="CN114" s="156">
        <v>15.531320722890438</v>
      </c>
      <c r="CO114" s="152"/>
      <c r="CP114" s="156">
        <v>19.253881151414358</v>
      </c>
      <c r="CQ114" s="152"/>
      <c r="CR114" s="173">
        <v>16.593684474581366</v>
      </c>
      <c r="CS114" s="169"/>
      <c r="CT114" s="173">
        <v>16.797703741772825</v>
      </c>
      <c r="CU114" s="169"/>
      <c r="CV114" s="173">
        <v>14.807050171520746</v>
      </c>
      <c r="CW114" s="169"/>
      <c r="CX114" s="38"/>
      <c r="CY114" s="55"/>
      <c r="CZ114" s="38"/>
      <c r="DA114" s="55"/>
      <c r="DB114" s="72">
        <v>17.920139638383059</v>
      </c>
      <c r="DC114" s="68"/>
      <c r="DD114" s="72">
        <v>16.325259731677171</v>
      </c>
      <c r="DE114" s="68"/>
      <c r="DF114" s="72">
        <v>13.669038307080962</v>
      </c>
      <c r="DG114" s="68"/>
    </row>
    <row r="115" spans="1:111" outlineLevel="1" x14ac:dyDescent="0.2">
      <c r="A115" s="30"/>
      <c r="B115" s="32" t="s">
        <v>124</v>
      </c>
      <c r="C115" s="38">
        <v>14.416174210557269</v>
      </c>
      <c r="D115" s="72">
        <v>14.097297966630336</v>
      </c>
      <c r="E115" s="68"/>
      <c r="F115" s="72">
        <v>14.97343185409335</v>
      </c>
      <c r="G115" s="68"/>
      <c r="H115" s="88">
        <v>14.603386129457542</v>
      </c>
      <c r="I115" s="84"/>
      <c r="J115" s="88">
        <v>13.938216314372138</v>
      </c>
      <c r="K115" s="84"/>
      <c r="L115" s="136"/>
      <c r="M115" s="132"/>
      <c r="N115" s="136"/>
      <c r="O115" s="132"/>
      <c r="P115" s="104">
        <v>16.898951775706522</v>
      </c>
      <c r="Q115" s="100"/>
      <c r="R115" s="104">
        <v>14.615672420994015</v>
      </c>
      <c r="S115" s="100"/>
      <c r="T115" s="104">
        <v>18.176348100471181</v>
      </c>
      <c r="U115" s="100"/>
      <c r="V115" s="120">
        <v>16.533875949164127</v>
      </c>
      <c r="W115" s="116"/>
      <c r="X115" s="120">
        <v>12.332272050415051</v>
      </c>
      <c r="Y115" s="116"/>
      <c r="Z115" s="120">
        <v>18.439229423967415</v>
      </c>
      <c r="AA115" s="116"/>
      <c r="AB115" s="156">
        <v>13.131566756952525</v>
      </c>
      <c r="AC115" s="152"/>
      <c r="AD115" s="156">
        <v>16.197524148416708</v>
      </c>
      <c r="AE115" s="152"/>
      <c r="AF115" s="156">
        <v>12.307282570116758</v>
      </c>
      <c r="AG115" s="152"/>
      <c r="AH115" s="156">
        <v>12.779320467053024</v>
      </c>
      <c r="AI115" s="152"/>
      <c r="AJ115" s="173">
        <v>13.957132526351534</v>
      </c>
      <c r="AK115" s="169"/>
      <c r="AL115" s="173">
        <v>14.830922553756809</v>
      </c>
      <c r="AM115" s="169"/>
      <c r="AN115" s="38"/>
      <c r="AO115" s="55"/>
      <c r="AP115" s="38"/>
      <c r="AQ115" s="55"/>
      <c r="AR115" s="38"/>
      <c r="AS115" s="55"/>
      <c r="AT115" s="38"/>
      <c r="AU115" s="55"/>
      <c r="AV115" s="38"/>
      <c r="AW115" s="55"/>
      <c r="AX115" s="38"/>
      <c r="AY115" s="55"/>
      <c r="AZ115" s="38"/>
      <c r="BA115" s="55"/>
      <c r="BB115" s="38"/>
      <c r="BC115" s="55"/>
      <c r="BD115" s="72">
        <v>15.555092380926768</v>
      </c>
      <c r="BE115" s="68"/>
      <c r="BF115" s="72">
        <v>12.21015026087119</v>
      </c>
      <c r="BG115" s="68"/>
      <c r="BH115" s="72">
        <v>12.951012773683622</v>
      </c>
      <c r="BI115" s="68"/>
      <c r="BJ115" s="72">
        <v>18.44598047024142</v>
      </c>
      <c r="BK115" s="68" t="s">
        <v>192</v>
      </c>
      <c r="BL115" s="88">
        <v>15.959988237157011</v>
      </c>
      <c r="BM115" s="84"/>
      <c r="BN115" s="88">
        <v>13.450049649060304</v>
      </c>
      <c r="BO115" s="84"/>
      <c r="BP115" s="104">
        <v>14.689188623747887</v>
      </c>
      <c r="BQ115" s="100"/>
      <c r="BR115" s="104">
        <v>14.334922129899953</v>
      </c>
      <c r="BS115" s="100"/>
      <c r="BT115" s="120">
        <v>13.607799196114653</v>
      </c>
      <c r="BU115" s="116"/>
      <c r="BV115" s="120">
        <v>15.10017851332562</v>
      </c>
      <c r="BW115" s="116"/>
      <c r="BX115" s="38"/>
      <c r="BY115" s="55"/>
      <c r="BZ115" s="38"/>
      <c r="CA115" s="55"/>
      <c r="CB115" s="38"/>
      <c r="CC115" s="55"/>
      <c r="CD115" s="38"/>
      <c r="CE115" s="55"/>
      <c r="CF115" s="38"/>
      <c r="CG115" s="55"/>
      <c r="CH115" s="38"/>
      <c r="CI115" s="55"/>
      <c r="CJ115" s="38"/>
      <c r="CK115" s="55"/>
      <c r="CL115" s="156">
        <v>13.915419928595677</v>
      </c>
      <c r="CM115" s="152"/>
      <c r="CN115" s="156">
        <v>13.776854198977608</v>
      </c>
      <c r="CO115" s="152"/>
      <c r="CP115" s="156">
        <v>12.586970271979759</v>
      </c>
      <c r="CQ115" s="152"/>
      <c r="CR115" s="173">
        <v>16.361504376805659</v>
      </c>
      <c r="CS115" s="169"/>
      <c r="CT115" s="173">
        <v>13.435520855290758</v>
      </c>
      <c r="CU115" s="169"/>
      <c r="CV115" s="173">
        <v>13.801913759864545</v>
      </c>
      <c r="CW115" s="169"/>
      <c r="CX115" s="38"/>
      <c r="CY115" s="55"/>
      <c r="CZ115" s="38"/>
      <c r="DA115" s="55"/>
      <c r="DB115" s="72">
        <v>15.713429604838389</v>
      </c>
      <c r="DC115" s="68"/>
      <c r="DD115" s="72">
        <v>13.182698885546674</v>
      </c>
      <c r="DE115" s="68"/>
      <c r="DF115" s="72">
        <v>15.086093046253604</v>
      </c>
      <c r="DG115" s="68"/>
    </row>
    <row r="116" spans="1:111" outlineLevel="1" x14ac:dyDescent="0.2">
      <c r="A116" s="30"/>
      <c r="B116" s="32" t="s">
        <v>125</v>
      </c>
      <c r="C116" s="38">
        <v>14.519259700596914</v>
      </c>
      <c r="D116" s="72">
        <v>14.659583355612742</v>
      </c>
      <c r="E116" s="68"/>
      <c r="F116" s="72">
        <v>14.274034693040667</v>
      </c>
      <c r="G116" s="68"/>
      <c r="H116" s="88">
        <v>14.065191639705539</v>
      </c>
      <c r="I116" s="84"/>
      <c r="J116" s="88">
        <v>15.678509690572785</v>
      </c>
      <c r="K116" s="84"/>
      <c r="L116" s="136"/>
      <c r="M116" s="132"/>
      <c r="N116" s="136"/>
      <c r="O116" s="132"/>
      <c r="P116" s="104">
        <v>14.708381499112008</v>
      </c>
      <c r="Q116" s="100"/>
      <c r="R116" s="104">
        <v>13.082451621885006</v>
      </c>
      <c r="S116" s="100"/>
      <c r="T116" s="104">
        <v>18.526121038255894</v>
      </c>
      <c r="U116" s="100"/>
      <c r="V116" s="120">
        <v>16.736688796332</v>
      </c>
      <c r="W116" s="116"/>
      <c r="X116" s="120">
        <v>14.316110110159523</v>
      </c>
      <c r="Y116" s="116"/>
      <c r="Z116" s="120">
        <v>19.731391923848701</v>
      </c>
      <c r="AA116" s="116"/>
      <c r="AB116" s="156">
        <v>14.610472096255135</v>
      </c>
      <c r="AC116" s="152"/>
      <c r="AD116" s="156">
        <v>14.778981138036803</v>
      </c>
      <c r="AE116" s="152"/>
      <c r="AF116" s="156">
        <v>14.546124420679481</v>
      </c>
      <c r="AG116" s="152"/>
      <c r="AH116" s="156">
        <v>13.418459570911399</v>
      </c>
      <c r="AI116" s="152"/>
      <c r="AJ116" s="173">
        <v>16.719327535519824</v>
      </c>
      <c r="AK116" s="169" t="s">
        <v>187</v>
      </c>
      <c r="AL116" s="173">
        <v>12.531478370803972</v>
      </c>
      <c r="AM116" s="169"/>
      <c r="AN116" s="38"/>
      <c r="AO116" s="55"/>
      <c r="AP116" s="38"/>
      <c r="AQ116" s="55"/>
      <c r="AR116" s="38"/>
      <c r="AS116" s="55"/>
      <c r="AT116" s="38"/>
      <c r="AU116" s="55"/>
      <c r="AV116" s="38"/>
      <c r="AW116" s="55"/>
      <c r="AX116" s="38"/>
      <c r="AY116" s="55"/>
      <c r="AZ116" s="38"/>
      <c r="BA116" s="55"/>
      <c r="BB116" s="38"/>
      <c r="BC116" s="55"/>
      <c r="BD116" s="72">
        <v>17.288097607329515</v>
      </c>
      <c r="BE116" s="68"/>
      <c r="BF116" s="72">
        <v>12.172953043185689</v>
      </c>
      <c r="BG116" s="68"/>
      <c r="BH116" s="72">
        <v>14.288889899311396</v>
      </c>
      <c r="BI116" s="68"/>
      <c r="BJ116" s="72">
        <v>16.202630025615957</v>
      </c>
      <c r="BK116" s="68"/>
      <c r="BL116" s="88">
        <v>13.08395502974642</v>
      </c>
      <c r="BM116" s="84"/>
      <c r="BN116" s="88">
        <v>15.833478990016841</v>
      </c>
      <c r="BO116" s="84"/>
      <c r="BP116" s="104">
        <v>15.242366219893176</v>
      </c>
      <c r="BQ116" s="100"/>
      <c r="BR116" s="104">
        <v>14.158836953322647</v>
      </c>
      <c r="BS116" s="100"/>
      <c r="BT116" s="120">
        <v>14.81895161585626</v>
      </c>
      <c r="BU116" s="116"/>
      <c r="BV116" s="120">
        <v>14.361635475097112</v>
      </c>
      <c r="BW116" s="116"/>
      <c r="BX116" s="38"/>
      <c r="BY116" s="55"/>
      <c r="BZ116" s="38"/>
      <c r="CA116" s="55"/>
      <c r="CB116" s="38"/>
      <c r="CC116" s="55"/>
      <c r="CD116" s="38"/>
      <c r="CE116" s="55"/>
      <c r="CF116" s="38"/>
      <c r="CG116" s="55"/>
      <c r="CH116" s="38"/>
      <c r="CI116" s="55"/>
      <c r="CJ116" s="38"/>
      <c r="CK116" s="55"/>
      <c r="CL116" s="156">
        <v>14.016995705689473</v>
      </c>
      <c r="CM116" s="152"/>
      <c r="CN116" s="156">
        <v>16.010654996462392</v>
      </c>
      <c r="CO116" s="152"/>
      <c r="CP116" s="156">
        <v>18.286163637207281</v>
      </c>
      <c r="CQ116" s="152"/>
      <c r="CR116" s="173">
        <v>14.238897128591564</v>
      </c>
      <c r="CS116" s="169"/>
      <c r="CT116" s="173">
        <v>17.168596987382756</v>
      </c>
      <c r="CU116" s="169"/>
      <c r="CV116" s="173">
        <v>14.065942779429044</v>
      </c>
      <c r="CW116" s="169"/>
      <c r="CX116" s="38"/>
      <c r="CY116" s="55"/>
      <c r="CZ116" s="38"/>
      <c r="DA116" s="55"/>
      <c r="DB116" s="72">
        <v>15.88030435698241</v>
      </c>
      <c r="DC116" s="68"/>
      <c r="DD116" s="72">
        <v>14.591996502536679</v>
      </c>
      <c r="DE116" s="68"/>
      <c r="DF116" s="72">
        <v>11.532748778447557</v>
      </c>
      <c r="DG116" s="68"/>
    </row>
    <row r="117" spans="1:111" outlineLevel="1" x14ac:dyDescent="0.2">
      <c r="A117" s="30"/>
      <c r="B117" s="32" t="s">
        <v>126</v>
      </c>
      <c r="C117" s="38">
        <v>23.5082564709713</v>
      </c>
      <c r="D117" s="72">
        <v>22.390772934021992</v>
      </c>
      <c r="E117" s="68"/>
      <c r="F117" s="72">
        <v>25.461133972355267</v>
      </c>
      <c r="G117" s="68"/>
      <c r="H117" s="88">
        <v>22.18478730463611</v>
      </c>
      <c r="I117" s="84"/>
      <c r="J117" s="88">
        <v>26.887114730227875</v>
      </c>
      <c r="K117" s="84"/>
      <c r="L117" s="136"/>
      <c r="M117" s="132"/>
      <c r="N117" s="136"/>
      <c r="O117" s="132"/>
      <c r="P117" s="104">
        <v>23.276816744696784</v>
      </c>
      <c r="Q117" s="100"/>
      <c r="R117" s="104">
        <v>25.333165112070166</v>
      </c>
      <c r="S117" s="100"/>
      <c r="T117" s="104">
        <v>23.586753874981934</v>
      </c>
      <c r="U117" s="100"/>
      <c r="V117" s="120">
        <v>27.942361066041592</v>
      </c>
      <c r="W117" s="116"/>
      <c r="X117" s="120">
        <v>26.182014133984911</v>
      </c>
      <c r="Y117" s="116"/>
      <c r="Z117" s="120">
        <v>24.652300562098826</v>
      </c>
      <c r="AA117" s="116"/>
      <c r="AB117" s="156">
        <v>27.013360403018861</v>
      </c>
      <c r="AC117" s="152" t="s">
        <v>172</v>
      </c>
      <c r="AD117" s="156">
        <v>24.762715402161472</v>
      </c>
      <c r="AE117" s="152"/>
      <c r="AF117" s="156">
        <v>18.404065494349009</v>
      </c>
      <c r="AG117" s="152"/>
      <c r="AH117" s="156">
        <v>19.088702815107222</v>
      </c>
      <c r="AI117" s="152"/>
      <c r="AJ117" s="173">
        <v>20.494083755652849</v>
      </c>
      <c r="AK117" s="169"/>
      <c r="AL117" s="173">
        <v>26.231588976076196</v>
      </c>
      <c r="AM117" s="169" t="s">
        <v>186</v>
      </c>
      <c r="AN117" s="38"/>
      <c r="AO117" s="55"/>
      <c r="AP117" s="38"/>
      <c r="AQ117" s="55"/>
      <c r="AR117" s="38"/>
      <c r="AS117" s="55"/>
      <c r="AT117" s="38"/>
      <c r="AU117" s="55"/>
      <c r="AV117" s="38"/>
      <c r="AW117" s="55"/>
      <c r="AX117" s="38"/>
      <c r="AY117" s="55"/>
      <c r="AZ117" s="38"/>
      <c r="BA117" s="55"/>
      <c r="BB117" s="38"/>
      <c r="BC117" s="55"/>
      <c r="BD117" s="72">
        <v>26.424710217034669</v>
      </c>
      <c r="BE117" s="68"/>
      <c r="BF117" s="72">
        <v>21.944442497353904</v>
      </c>
      <c r="BG117" s="68"/>
      <c r="BH117" s="72">
        <v>24.896810601352954</v>
      </c>
      <c r="BI117" s="68"/>
      <c r="BJ117" s="72">
        <v>22.229309441724741</v>
      </c>
      <c r="BK117" s="68"/>
      <c r="BL117" s="88">
        <v>22.547144117447463</v>
      </c>
      <c r="BM117" s="84"/>
      <c r="BN117" s="88">
        <v>24.60802628647156</v>
      </c>
      <c r="BO117" s="84"/>
      <c r="BP117" s="104">
        <v>24.467846865307308</v>
      </c>
      <c r="BQ117" s="100"/>
      <c r="BR117" s="104">
        <v>23.053025169051747</v>
      </c>
      <c r="BS117" s="100"/>
      <c r="BT117" s="120">
        <v>21.553505364876738</v>
      </c>
      <c r="BU117" s="116"/>
      <c r="BV117" s="120">
        <v>25.107424647053715</v>
      </c>
      <c r="BW117" s="116"/>
      <c r="BX117" s="38"/>
      <c r="BY117" s="55"/>
      <c r="BZ117" s="38"/>
      <c r="CA117" s="55"/>
      <c r="CB117" s="38"/>
      <c r="CC117" s="55"/>
      <c r="CD117" s="38"/>
      <c r="CE117" s="55"/>
      <c r="CF117" s="38"/>
      <c r="CG117" s="55"/>
      <c r="CH117" s="38"/>
      <c r="CI117" s="55"/>
      <c r="CJ117" s="38"/>
      <c r="CK117" s="55"/>
      <c r="CL117" s="156">
        <v>23.969101374240903</v>
      </c>
      <c r="CM117" s="152"/>
      <c r="CN117" s="156">
        <v>24.80608749841862</v>
      </c>
      <c r="CO117" s="152"/>
      <c r="CP117" s="156">
        <v>25.849677272827176</v>
      </c>
      <c r="CQ117" s="152"/>
      <c r="CR117" s="173">
        <v>22.080511540268525</v>
      </c>
      <c r="CS117" s="169"/>
      <c r="CT117" s="173">
        <v>19.690679340094942</v>
      </c>
      <c r="CU117" s="169"/>
      <c r="CV117" s="173">
        <v>26.695804769902693</v>
      </c>
      <c r="CW117" s="169"/>
      <c r="CX117" s="38"/>
      <c r="CY117" s="55"/>
      <c r="CZ117" s="38"/>
      <c r="DA117" s="55"/>
      <c r="DB117" s="72">
        <v>22.854861036908702</v>
      </c>
      <c r="DC117" s="68"/>
      <c r="DD117" s="72">
        <v>23.29041146029261</v>
      </c>
      <c r="DE117" s="68"/>
      <c r="DF117" s="72">
        <v>25.435733183837822</v>
      </c>
      <c r="DG117" s="68"/>
    </row>
    <row r="118" spans="1:111" outlineLevel="1" x14ac:dyDescent="0.2">
      <c r="A118" s="30"/>
      <c r="B118" s="32" t="s">
        <v>127</v>
      </c>
      <c r="C118" s="38">
        <v>17.085435488036577</v>
      </c>
      <c r="D118" s="72">
        <v>16.621310479550718</v>
      </c>
      <c r="E118" s="68"/>
      <c r="F118" s="72">
        <v>17.896525098695236</v>
      </c>
      <c r="G118" s="68"/>
      <c r="H118" s="88">
        <v>16.597256145227341</v>
      </c>
      <c r="I118" s="84"/>
      <c r="J118" s="88">
        <v>18.331772649798364</v>
      </c>
      <c r="K118" s="84"/>
      <c r="L118" s="136"/>
      <c r="M118" s="132"/>
      <c r="N118" s="136"/>
      <c r="O118" s="132"/>
      <c r="P118" s="104">
        <v>16.458472228187826</v>
      </c>
      <c r="Q118" s="100"/>
      <c r="R118" s="104">
        <v>18.465213002923569</v>
      </c>
      <c r="S118" s="100"/>
      <c r="T118" s="104">
        <v>17.526076028531424</v>
      </c>
      <c r="U118" s="100"/>
      <c r="V118" s="120">
        <v>14.80896461416884</v>
      </c>
      <c r="W118" s="116"/>
      <c r="X118" s="120">
        <v>19.467137251030433</v>
      </c>
      <c r="Y118" s="116"/>
      <c r="Z118" s="120">
        <v>18.933355403027438</v>
      </c>
      <c r="AA118" s="116"/>
      <c r="AB118" s="156">
        <v>22.752147333464134</v>
      </c>
      <c r="AC118" s="152" t="s">
        <v>252</v>
      </c>
      <c r="AD118" s="156">
        <v>14.773226834639905</v>
      </c>
      <c r="AE118" s="152"/>
      <c r="AF118" s="156">
        <v>17.946443475766454</v>
      </c>
      <c r="AG118" s="152"/>
      <c r="AH118" s="156">
        <v>14.609442265378361</v>
      </c>
      <c r="AI118" s="152"/>
      <c r="AJ118" s="173">
        <v>16.914437625916939</v>
      </c>
      <c r="AK118" s="169"/>
      <c r="AL118" s="173">
        <v>17.239933614121782</v>
      </c>
      <c r="AM118" s="169"/>
      <c r="AN118" s="38"/>
      <c r="AO118" s="55"/>
      <c r="AP118" s="38"/>
      <c r="AQ118" s="55"/>
      <c r="AR118" s="38"/>
      <c r="AS118" s="55"/>
      <c r="AT118" s="38"/>
      <c r="AU118" s="55"/>
      <c r="AV118" s="38"/>
      <c r="AW118" s="55"/>
      <c r="AX118" s="38"/>
      <c r="AY118" s="55"/>
      <c r="AZ118" s="38"/>
      <c r="BA118" s="55"/>
      <c r="BB118" s="38"/>
      <c r="BC118" s="55"/>
      <c r="BD118" s="72">
        <v>18.922491461151601</v>
      </c>
      <c r="BE118" s="68"/>
      <c r="BF118" s="72">
        <v>17.066513391699317</v>
      </c>
      <c r="BG118" s="68"/>
      <c r="BH118" s="72">
        <v>14.495404715020046</v>
      </c>
      <c r="BI118" s="68"/>
      <c r="BJ118" s="72">
        <v>18.085136514575943</v>
      </c>
      <c r="BK118" s="68"/>
      <c r="BL118" s="88">
        <v>17.019114619856584</v>
      </c>
      <c r="BM118" s="84"/>
      <c r="BN118" s="88">
        <v>16.178080690314907</v>
      </c>
      <c r="BO118" s="84"/>
      <c r="BP118" s="104">
        <v>20.403009606720282</v>
      </c>
      <c r="BQ118" s="100"/>
      <c r="BR118" s="104">
        <v>15.655104276867622</v>
      </c>
      <c r="BS118" s="100"/>
      <c r="BT118" s="120">
        <v>14.045330234493282</v>
      </c>
      <c r="BU118" s="116"/>
      <c r="BV118" s="120">
        <v>19.152417466356322</v>
      </c>
      <c r="BW118" s="116" t="s">
        <v>199</v>
      </c>
      <c r="BX118" s="38"/>
      <c r="BY118" s="55"/>
      <c r="BZ118" s="38"/>
      <c r="CA118" s="55"/>
      <c r="CB118" s="38"/>
      <c r="CC118" s="55"/>
      <c r="CD118" s="38"/>
      <c r="CE118" s="55"/>
      <c r="CF118" s="38"/>
      <c r="CG118" s="55"/>
      <c r="CH118" s="38"/>
      <c r="CI118" s="55"/>
      <c r="CJ118" s="38"/>
      <c r="CK118" s="55"/>
      <c r="CL118" s="156">
        <v>16.988308337034145</v>
      </c>
      <c r="CM118" s="152"/>
      <c r="CN118" s="156">
        <v>15.089002488040071</v>
      </c>
      <c r="CO118" s="152"/>
      <c r="CP118" s="156">
        <v>20.325144879224574</v>
      </c>
      <c r="CQ118" s="152"/>
      <c r="CR118" s="173">
        <v>15.680589205273002</v>
      </c>
      <c r="CS118" s="169"/>
      <c r="CT118" s="173">
        <v>15.940996665853595</v>
      </c>
      <c r="CU118" s="169"/>
      <c r="CV118" s="173">
        <v>21.09745245835726</v>
      </c>
      <c r="CW118" s="169"/>
      <c r="CX118" s="38"/>
      <c r="CY118" s="55"/>
      <c r="CZ118" s="38"/>
      <c r="DA118" s="55"/>
      <c r="DB118" s="72">
        <v>16.68111671503668</v>
      </c>
      <c r="DC118" s="68"/>
      <c r="DD118" s="72">
        <v>16.34475867067345</v>
      </c>
      <c r="DE118" s="68"/>
      <c r="DF118" s="72">
        <v>19.913497768593299</v>
      </c>
      <c r="DG118" s="68"/>
    </row>
    <row r="119" spans="1:111" outlineLevel="1" x14ac:dyDescent="0.2">
      <c r="A119" s="30"/>
      <c r="B119" s="32" t="s">
        <v>128</v>
      </c>
      <c r="C119" s="38">
        <v>25.818193131441245</v>
      </c>
      <c r="D119" s="72">
        <v>24.938733299321218</v>
      </c>
      <c r="E119" s="68"/>
      <c r="F119" s="72">
        <v>27.355108229275057</v>
      </c>
      <c r="G119" s="68"/>
      <c r="H119" s="88">
        <v>24.572344750996375</v>
      </c>
      <c r="I119" s="84"/>
      <c r="J119" s="88">
        <v>28.998883091679758</v>
      </c>
      <c r="K119" s="84"/>
      <c r="L119" s="136"/>
      <c r="M119" s="132"/>
      <c r="N119" s="136"/>
      <c r="O119" s="132"/>
      <c r="P119" s="104">
        <v>21.941496397915628</v>
      </c>
      <c r="Q119" s="100"/>
      <c r="R119" s="104">
        <v>31.893533342614507</v>
      </c>
      <c r="S119" s="100"/>
      <c r="T119" s="104">
        <v>25.804667271534189</v>
      </c>
      <c r="U119" s="100"/>
      <c r="V119" s="120">
        <v>24.228070443344112</v>
      </c>
      <c r="W119" s="116"/>
      <c r="X119" s="120">
        <v>30.403698858915188</v>
      </c>
      <c r="Y119" s="116"/>
      <c r="Z119" s="120">
        <v>27.198772418490243</v>
      </c>
      <c r="AA119" s="116"/>
      <c r="AB119" s="156">
        <v>23.111164353763801</v>
      </c>
      <c r="AC119" s="152"/>
      <c r="AD119" s="156">
        <v>24.03052497117487</v>
      </c>
      <c r="AE119" s="152"/>
      <c r="AF119" s="156">
        <v>24.753186094038597</v>
      </c>
      <c r="AG119" s="152"/>
      <c r="AH119" s="156">
        <v>37.948750547563783</v>
      </c>
      <c r="AI119" s="152" t="s">
        <v>241</v>
      </c>
      <c r="AJ119" s="173">
        <v>19.162306993201764</v>
      </c>
      <c r="AK119" s="169"/>
      <c r="AL119" s="173">
        <v>31.831846887387222</v>
      </c>
      <c r="AM119" s="169" t="s">
        <v>186</v>
      </c>
      <c r="AN119" s="38"/>
      <c r="AO119" s="55"/>
      <c r="AP119" s="38"/>
      <c r="AQ119" s="55"/>
      <c r="AR119" s="38"/>
      <c r="AS119" s="55"/>
      <c r="AT119" s="38"/>
      <c r="AU119" s="55"/>
      <c r="AV119" s="38"/>
      <c r="AW119" s="55"/>
      <c r="AX119" s="38"/>
      <c r="AY119" s="55"/>
      <c r="AZ119" s="38"/>
      <c r="BA119" s="55"/>
      <c r="BB119" s="38"/>
      <c r="BC119" s="55"/>
      <c r="BD119" s="72">
        <v>23.834189459340738</v>
      </c>
      <c r="BE119" s="68"/>
      <c r="BF119" s="72">
        <v>26.529256593043279</v>
      </c>
      <c r="BG119" s="68"/>
      <c r="BH119" s="72">
        <v>25.271793939097172</v>
      </c>
      <c r="BI119" s="68"/>
      <c r="BJ119" s="72">
        <v>26.871450804185411</v>
      </c>
      <c r="BK119" s="68"/>
      <c r="BL119" s="88">
        <v>28.131870518243716</v>
      </c>
      <c r="BM119" s="84"/>
      <c r="BN119" s="88">
        <v>23.013715971010917</v>
      </c>
      <c r="BO119" s="84"/>
      <c r="BP119" s="104">
        <v>28.242231262593311</v>
      </c>
      <c r="BQ119" s="100"/>
      <c r="BR119" s="104">
        <v>24.770516621073043</v>
      </c>
      <c r="BS119" s="100"/>
      <c r="BT119" s="120">
        <v>26.003634446924547</v>
      </c>
      <c r="BU119" s="116"/>
      <c r="BV119" s="120">
        <v>25.453620456932136</v>
      </c>
      <c r="BW119" s="116"/>
      <c r="BX119" s="38"/>
      <c r="BY119" s="55"/>
      <c r="BZ119" s="38"/>
      <c r="CA119" s="55"/>
      <c r="CB119" s="38"/>
      <c r="CC119" s="55"/>
      <c r="CD119" s="38"/>
      <c r="CE119" s="55"/>
      <c r="CF119" s="38"/>
      <c r="CG119" s="55"/>
      <c r="CH119" s="38"/>
      <c r="CI119" s="55"/>
      <c r="CJ119" s="38"/>
      <c r="CK119" s="55"/>
      <c r="CL119" s="156">
        <v>26.808056524490492</v>
      </c>
      <c r="CM119" s="152"/>
      <c r="CN119" s="156">
        <v>24.78050426153003</v>
      </c>
      <c r="CO119" s="152"/>
      <c r="CP119" s="156">
        <v>23.364616988905414</v>
      </c>
      <c r="CQ119" s="152"/>
      <c r="CR119" s="173">
        <v>22.808443801645279</v>
      </c>
      <c r="CS119" s="169"/>
      <c r="CT119" s="173">
        <v>27.124156886683334</v>
      </c>
      <c r="CU119" s="169"/>
      <c r="CV119" s="173">
        <v>28.626184085854081</v>
      </c>
      <c r="CW119" s="169"/>
      <c r="CX119" s="38"/>
      <c r="CY119" s="55"/>
      <c r="CZ119" s="38"/>
      <c r="DA119" s="55"/>
      <c r="DB119" s="72">
        <v>20.799488069088682</v>
      </c>
      <c r="DC119" s="68"/>
      <c r="DD119" s="72">
        <v>27.803399133477321</v>
      </c>
      <c r="DE119" s="68" t="s">
        <v>206</v>
      </c>
      <c r="DF119" s="72">
        <v>30.748328588909075</v>
      </c>
      <c r="DG119" s="68" t="s">
        <v>206</v>
      </c>
    </row>
    <row r="120" spans="1:111" outlineLevel="1" x14ac:dyDescent="0.2">
      <c r="A120" s="30"/>
      <c r="B120" s="32" t="s">
        <v>129</v>
      </c>
      <c r="C120" s="38">
        <v>6.1064983749587665</v>
      </c>
      <c r="D120" s="72">
        <v>6.9808726747499712</v>
      </c>
      <c r="E120" s="68"/>
      <c r="F120" s="72">
        <v>4.5784705862790851</v>
      </c>
      <c r="G120" s="68"/>
      <c r="H120" s="88">
        <v>6.6810493618178226</v>
      </c>
      <c r="I120" s="84"/>
      <c r="J120" s="88">
        <v>4.6396516990452978</v>
      </c>
      <c r="K120" s="84"/>
      <c r="L120" s="136"/>
      <c r="M120" s="132"/>
      <c r="N120" s="136"/>
      <c r="O120" s="132"/>
      <c r="P120" s="104">
        <v>7.9530960246658591</v>
      </c>
      <c r="Q120" s="100" t="s">
        <v>182</v>
      </c>
      <c r="R120" s="104">
        <v>2.8550048726158987</v>
      </c>
      <c r="S120" s="100"/>
      <c r="T120" s="104">
        <v>1.5945287126508121</v>
      </c>
      <c r="U120" s="100"/>
      <c r="V120" s="120">
        <v>9.3703353045151392</v>
      </c>
      <c r="W120" s="116" t="s">
        <v>185</v>
      </c>
      <c r="X120" s="120">
        <v>3.3743037901786082</v>
      </c>
      <c r="Y120" s="116"/>
      <c r="Z120" s="120">
        <v>1.8264480862454702</v>
      </c>
      <c r="AA120" s="116"/>
      <c r="AB120" s="156">
        <v>3.5136936435072257</v>
      </c>
      <c r="AC120" s="152"/>
      <c r="AD120" s="156">
        <v>7.4410827240085977</v>
      </c>
      <c r="AE120" s="152" t="s">
        <v>170</v>
      </c>
      <c r="AF120" s="156">
        <v>7.4077935660645533</v>
      </c>
      <c r="AG120" s="152"/>
      <c r="AH120" s="156">
        <v>4.2900678223828974</v>
      </c>
      <c r="AI120" s="152"/>
      <c r="AJ120" s="173">
        <v>12.86514453859651</v>
      </c>
      <c r="AK120" s="169" t="s">
        <v>187</v>
      </c>
      <c r="AL120" s="173">
        <v>0</v>
      </c>
      <c r="AM120" s="169"/>
      <c r="AN120" s="38"/>
      <c r="AO120" s="55"/>
      <c r="AP120" s="38"/>
      <c r="AQ120" s="55"/>
      <c r="AR120" s="38"/>
      <c r="AS120" s="55"/>
      <c r="AT120" s="38"/>
      <c r="AU120" s="55"/>
      <c r="AV120" s="38"/>
      <c r="AW120" s="55"/>
      <c r="AX120" s="38"/>
      <c r="AY120" s="55"/>
      <c r="AZ120" s="38"/>
      <c r="BA120" s="55"/>
      <c r="BB120" s="38"/>
      <c r="BC120" s="55"/>
      <c r="BD120" s="72">
        <v>7.2776985898573727</v>
      </c>
      <c r="BE120" s="68"/>
      <c r="BF120" s="72">
        <v>5.0323022320667121</v>
      </c>
      <c r="BG120" s="68"/>
      <c r="BH120" s="72">
        <v>5.1427785297652981</v>
      </c>
      <c r="BI120" s="68"/>
      <c r="BJ120" s="72">
        <v>7.7924544904207353</v>
      </c>
      <c r="BK120" s="68"/>
      <c r="BL120" s="88">
        <v>5.4424864840409892</v>
      </c>
      <c r="BM120" s="84"/>
      <c r="BN120" s="88">
        <v>7.1299446870531131</v>
      </c>
      <c r="BO120" s="84"/>
      <c r="BP120" s="104">
        <v>5.0239770207203653</v>
      </c>
      <c r="BQ120" s="100"/>
      <c r="BR120" s="104">
        <v>6.560747162621487</v>
      </c>
      <c r="BS120" s="100"/>
      <c r="BT120" s="120">
        <v>6.3817974420318384</v>
      </c>
      <c r="BU120" s="116"/>
      <c r="BV120" s="120">
        <v>5.9267717789792318</v>
      </c>
      <c r="BW120" s="116"/>
      <c r="BX120" s="38"/>
      <c r="BY120" s="55"/>
      <c r="BZ120" s="38"/>
      <c r="CA120" s="55"/>
      <c r="CB120" s="38"/>
      <c r="CC120" s="55"/>
      <c r="CD120" s="38"/>
      <c r="CE120" s="55"/>
      <c r="CF120" s="38"/>
      <c r="CG120" s="55"/>
      <c r="CH120" s="38"/>
      <c r="CI120" s="55"/>
      <c r="CJ120" s="38"/>
      <c r="CK120" s="55"/>
      <c r="CL120" s="156">
        <v>6.2818778454807171</v>
      </c>
      <c r="CM120" s="152"/>
      <c r="CN120" s="156">
        <v>7.7295580097553671</v>
      </c>
      <c r="CO120" s="152"/>
      <c r="CP120" s="156">
        <v>5.3011753960520558</v>
      </c>
      <c r="CQ120" s="152"/>
      <c r="CR120" s="173">
        <v>7.2636266297427206</v>
      </c>
      <c r="CS120" s="169"/>
      <c r="CT120" s="173">
        <v>4.709466267391833</v>
      </c>
      <c r="CU120" s="169"/>
      <c r="CV120" s="173">
        <v>5.9271771681576109</v>
      </c>
      <c r="CW120" s="169"/>
      <c r="CX120" s="38"/>
      <c r="CY120" s="55"/>
      <c r="CZ120" s="38"/>
      <c r="DA120" s="55"/>
      <c r="DB120" s="72">
        <v>7.3672059678102171</v>
      </c>
      <c r="DC120" s="68"/>
      <c r="DD120" s="72">
        <v>5.7202879016527257</v>
      </c>
      <c r="DE120" s="68"/>
      <c r="DF120" s="72">
        <v>4.564448131738998</v>
      </c>
      <c r="DG120" s="68"/>
    </row>
    <row r="121" spans="1:111" outlineLevel="1" x14ac:dyDescent="0.2">
      <c r="A121" s="30"/>
      <c r="B121" s="30"/>
      <c r="E121" s="66"/>
      <c r="G121" s="66"/>
      <c r="I121" s="82"/>
      <c r="K121" s="82"/>
      <c r="M121" s="130"/>
      <c r="O121" s="130"/>
      <c r="Q121" s="98"/>
      <c r="S121" s="98"/>
      <c r="U121" s="98"/>
      <c r="W121" s="114"/>
      <c r="Y121" s="114"/>
      <c r="AA121" s="114"/>
      <c r="AC121" s="150"/>
      <c r="AE121" s="150"/>
      <c r="AG121" s="150"/>
      <c r="AI121" s="150"/>
      <c r="AK121" s="167"/>
      <c r="AM121" s="167"/>
      <c r="AO121" s="54"/>
      <c r="AQ121" s="54"/>
      <c r="AS121" s="54"/>
      <c r="AU121" s="54"/>
      <c r="AW121" s="54"/>
      <c r="AY121" s="54"/>
      <c r="BA121" s="54"/>
      <c r="BC121" s="54"/>
      <c r="BE121" s="66"/>
      <c r="BG121" s="66"/>
      <c r="BI121" s="66"/>
      <c r="BK121" s="66"/>
      <c r="BM121" s="82"/>
      <c r="BO121" s="82"/>
      <c r="BQ121" s="98"/>
      <c r="BS121" s="98"/>
      <c r="BU121" s="114"/>
      <c r="BW121" s="114"/>
      <c r="BY121" s="54"/>
      <c r="CA121" s="54"/>
      <c r="CC121" s="54"/>
      <c r="CE121" s="54"/>
      <c r="CG121" s="54"/>
      <c r="CI121" s="54"/>
      <c r="CK121" s="54"/>
      <c r="CM121" s="150"/>
      <c r="CO121" s="150"/>
      <c r="CQ121" s="150"/>
      <c r="CS121" s="167"/>
      <c r="CU121" s="167"/>
      <c r="CW121" s="167"/>
      <c r="CY121" s="54"/>
      <c r="DA121" s="54"/>
      <c r="DC121" s="66"/>
      <c r="DE121" s="66"/>
      <c r="DG121" s="66"/>
    </row>
    <row r="122" spans="1:111" x14ac:dyDescent="0.2">
      <c r="A122" s="30"/>
      <c r="B122" s="30"/>
      <c r="E122" s="66"/>
      <c r="G122" s="66"/>
      <c r="I122" s="82"/>
      <c r="K122" s="82"/>
      <c r="M122" s="130"/>
      <c r="O122" s="130"/>
      <c r="Q122" s="98"/>
      <c r="S122" s="98"/>
      <c r="U122" s="98"/>
      <c r="W122" s="114"/>
      <c r="Y122" s="114"/>
      <c r="AA122" s="114"/>
      <c r="AC122" s="150"/>
      <c r="AE122" s="150"/>
      <c r="AG122" s="150"/>
      <c r="AI122" s="150"/>
      <c r="AK122" s="167"/>
      <c r="AM122" s="167"/>
      <c r="AO122" s="54"/>
      <c r="AQ122" s="54"/>
      <c r="AS122" s="54"/>
      <c r="AU122" s="54"/>
      <c r="AW122" s="54"/>
      <c r="AY122" s="54"/>
      <c r="BA122" s="54"/>
      <c r="BC122" s="54"/>
      <c r="BE122" s="66"/>
      <c r="BG122" s="66"/>
      <c r="BI122" s="66"/>
      <c r="BK122" s="66"/>
      <c r="BM122" s="82"/>
      <c r="BO122" s="82"/>
      <c r="BQ122" s="98"/>
      <c r="BS122" s="98"/>
      <c r="BU122" s="114"/>
      <c r="BW122" s="114"/>
      <c r="BY122" s="54"/>
      <c r="CA122" s="54"/>
      <c r="CC122" s="54"/>
      <c r="CE122" s="54"/>
      <c r="CG122" s="54"/>
      <c r="CI122" s="54"/>
      <c r="CK122" s="54"/>
      <c r="CM122" s="150"/>
      <c r="CO122" s="150"/>
      <c r="CQ122" s="150"/>
      <c r="CS122" s="167"/>
      <c r="CU122" s="167"/>
      <c r="CW122" s="167"/>
      <c r="CY122" s="54"/>
      <c r="DA122" s="54"/>
      <c r="DC122" s="66"/>
      <c r="DE122" s="66"/>
      <c r="DG122" s="66"/>
    </row>
    <row r="123" spans="1:111" x14ac:dyDescent="0.2">
      <c r="A123" s="28" t="s">
        <v>130</v>
      </c>
      <c r="B123" s="29" t="s">
        <v>131</v>
      </c>
      <c r="E123" s="66"/>
      <c r="G123" s="66"/>
      <c r="I123" s="82"/>
      <c r="K123" s="82"/>
      <c r="M123" s="130"/>
      <c r="O123" s="130"/>
      <c r="Q123" s="98"/>
      <c r="S123" s="98"/>
      <c r="U123" s="98"/>
      <c r="W123" s="114"/>
      <c r="Y123" s="114"/>
      <c r="AA123" s="114"/>
      <c r="AC123" s="150"/>
      <c r="AE123" s="150"/>
      <c r="AG123" s="150"/>
      <c r="AI123" s="150"/>
      <c r="AK123" s="167"/>
      <c r="AM123" s="167"/>
      <c r="AO123" s="54"/>
      <c r="AQ123" s="54"/>
      <c r="AS123" s="54"/>
      <c r="AU123" s="54"/>
      <c r="AW123" s="54"/>
      <c r="AY123" s="54"/>
      <c r="BA123" s="54"/>
      <c r="BC123" s="54"/>
      <c r="BE123" s="66"/>
      <c r="BG123" s="66"/>
      <c r="BI123" s="66"/>
      <c r="BK123" s="66"/>
      <c r="BM123" s="82"/>
      <c r="BO123" s="82"/>
      <c r="BQ123" s="98"/>
      <c r="BS123" s="98"/>
      <c r="BU123" s="114"/>
      <c r="BW123" s="114"/>
      <c r="BY123" s="54"/>
      <c r="CA123" s="54"/>
      <c r="CC123" s="54"/>
      <c r="CE123" s="54"/>
      <c r="CG123" s="54"/>
      <c r="CI123" s="54"/>
      <c r="CK123" s="54"/>
      <c r="CM123" s="150"/>
      <c r="CO123" s="150"/>
      <c r="CQ123" s="150"/>
      <c r="CS123" s="167"/>
      <c r="CU123" s="167"/>
      <c r="CW123" s="167"/>
      <c r="CY123" s="54"/>
      <c r="DA123" s="54"/>
      <c r="DC123" s="66"/>
      <c r="DE123" s="66"/>
      <c r="DG123" s="66"/>
    </row>
    <row r="124" spans="1:111" outlineLevel="1" x14ac:dyDescent="0.2">
      <c r="A124" s="30"/>
      <c r="B124" s="32" t="s">
        <v>55</v>
      </c>
      <c r="C124" s="31">
        <f>1883.05224610559+89.9477538944136</f>
        <v>1973.0000000000036</v>
      </c>
      <c r="D124" s="67">
        <f>1186.40754506923+54.5924549307656</f>
        <v>1240.9999999999957</v>
      </c>
      <c r="E124" s="68"/>
      <c r="F124" s="67">
        <f>697.229271339924+34.7707286600755</f>
        <v>731.99999999999955</v>
      </c>
      <c r="G124" s="68"/>
      <c r="H124" s="83">
        <f>1294.51472390475+61.4852760952508</f>
        <v>1356.0000000000009</v>
      </c>
      <c r="I124" s="84"/>
      <c r="J124" s="83">
        <f>588.872678023413+28.1273219765872</f>
        <v>617.00000000000011</v>
      </c>
      <c r="K124" s="84"/>
      <c r="L124" s="131"/>
      <c r="M124" s="132"/>
      <c r="N124" s="131"/>
      <c r="O124" s="132"/>
      <c r="P124" s="99">
        <f>197.775455801689+12.2245441983108</f>
        <v>209.9999999999998</v>
      </c>
      <c r="Q124" s="100"/>
      <c r="R124" s="99">
        <f>183.624369897672+9.37563010232844</f>
        <v>193.00000000000045</v>
      </c>
      <c r="S124" s="100"/>
      <c r="T124" s="99">
        <f>202.167219603481+6.83278039651879</f>
        <v>208.99999999999977</v>
      </c>
      <c r="U124" s="100"/>
      <c r="V124" s="115">
        <f>142.903095748811+7.09690425118887</f>
        <v>149.99999999999989</v>
      </c>
      <c r="W124" s="116"/>
      <c r="X124" s="115">
        <f>159.312800786456+8.68719921354355</f>
        <v>167.99999999999955</v>
      </c>
      <c r="Y124" s="116"/>
      <c r="Z124" s="115">
        <f>187.399553476067+6.60044652393256</f>
        <v>193.99999999999957</v>
      </c>
      <c r="AA124" s="116"/>
      <c r="AB124" s="151">
        <f>418.260207692397+16.7397923076035</f>
        <v>435.00000000000051</v>
      </c>
      <c r="AC124" s="152"/>
      <c r="AD124" s="151">
        <f>738.006659532827+36.9933404671731</f>
        <v>775.00000000000011</v>
      </c>
      <c r="AE124" s="152"/>
      <c r="AF124" s="151">
        <f>311.253904538341+10.7460954616589</f>
        <v>321.99999999999989</v>
      </c>
      <c r="AG124" s="152"/>
      <c r="AH124" s="151">
        <f>431.026863681208+9.97313631879211</f>
        <v>441.00000000000011</v>
      </c>
      <c r="AI124" s="152"/>
      <c r="AJ124" s="168">
        <f>923.333460709361+44.6665392906394</f>
        <v>968.00000000000045</v>
      </c>
      <c r="AK124" s="169"/>
      <c r="AL124" s="168">
        <f>959.799270076854+45.2007299231459</f>
        <v>1004.9999999999999</v>
      </c>
      <c r="AM124" s="169"/>
      <c r="AN124" s="31"/>
      <c r="AO124" s="55"/>
      <c r="AP124" s="31"/>
      <c r="AQ124" s="55"/>
      <c r="AR124" s="31"/>
      <c r="AS124" s="55"/>
      <c r="AT124" s="31"/>
      <c r="AU124" s="55"/>
      <c r="AV124" s="31"/>
      <c r="AW124" s="55"/>
      <c r="AX124" s="31"/>
      <c r="AY124" s="55"/>
      <c r="AZ124" s="31"/>
      <c r="BA124" s="55"/>
      <c r="BB124" s="31"/>
      <c r="BC124" s="55"/>
      <c r="BD124" s="67">
        <f>379.857824097321+11.1421759026792</f>
        <v>391.00000000000017</v>
      </c>
      <c r="BE124" s="68"/>
      <c r="BF124" s="67">
        <f>745.998424961336+22.0015750386635</f>
        <v>767.99999999999955</v>
      </c>
      <c r="BG124" s="68"/>
      <c r="BH124" s="67">
        <f>409.189427060892+14.8105729391077</f>
        <v>423.99999999999972</v>
      </c>
      <c r="BI124" s="68"/>
      <c r="BJ124" s="67">
        <f>363.70066322202+26.2993367779799</f>
        <v>389.99999999999989</v>
      </c>
      <c r="BK124" s="68"/>
      <c r="BL124" s="83">
        <f>896.282615300541+41.7173846994588</f>
        <v>937.99999999999977</v>
      </c>
      <c r="BM124" s="84"/>
      <c r="BN124" s="83">
        <f>918.786185024919+45.2138149750814</f>
        <v>964.00000000000034</v>
      </c>
      <c r="BO124" s="84"/>
      <c r="BP124" s="99">
        <f>566.54488221061+21.4551177893895</f>
        <v>587.99999999999955</v>
      </c>
      <c r="BQ124" s="100"/>
      <c r="BR124" s="99">
        <f>1309.85022189589+68.1497781041148</f>
        <v>1378.0000000000048</v>
      </c>
      <c r="BS124" s="100"/>
      <c r="BT124" s="115">
        <f>801.597409190903+42.4025908090973</f>
        <v>844.00000000000034</v>
      </c>
      <c r="BU124" s="116"/>
      <c r="BV124" s="115">
        <f>1073.89067127574+47.109328724262</f>
        <v>1121.000000000002</v>
      </c>
      <c r="BW124" s="116"/>
      <c r="BX124" s="31"/>
      <c r="BY124" s="55"/>
      <c r="BZ124" s="31"/>
      <c r="CA124" s="55"/>
      <c r="CB124" s="31"/>
      <c r="CC124" s="55"/>
      <c r="CD124" s="31"/>
      <c r="CE124" s="55"/>
      <c r="CF124" s="31"/>
      <c r="CG124" s="55"/>
      <c r="CH124" s="31"/>
      <c r="CI124" s="55"/>
      <c r="CJ124" s="31"/>
      <c r="CK124" s="55"/>
      <c r="CL124" s="151">
        <f>1355.82509014005+57.1749098599505</f>
        <v>1413.0000000000005</v>
      </c>
      <c r="CM124" s="152"/>
      <c r="CN124" s="151">
        <f>292.487931587065+18.5120684129348</f>
        <v>310.99999999999983</v>
      </c>
      <c r="CO124" s="152"/>
      <c r="CP124" s="151">
        <f>266.807630662101+20.192369337899</f>
        <v>287</v>
      </c>
      <c r="CQ124" s="152"/>
      <c r="CR124" s="168">
        <f>771.339198902703+38.6608010972968</f>
        <v>809.99999999999977</v>
      </c>
      <c r="CS124" s="169"/>
      <c r="CT124" s="168">
        <f>498.353180029268+21.6468199707316</f>
        <v>519.99999999999955</v>
      </c>
      <c r="CU124" s="169"/>
      <c r="CV124" s="168">
        <f>425.648257709813+20.3517422901865</f>
        <v>445.99999999999949</v>
      </c>
      <c r="CW124" s="169"/>
      <c r="CX124" s="31"/>
      <c r="CY124" s="55"/>
      <c r="CZ124" s="31"/>
      <c r="DA124" s="55"/>
      <c r="DB124" s="67">
        <f>562.90176025743+31.0982397425698</f>
        <v>593.99999999999989</v>
      </c>
      <c r="DC124" s="68"/>
      <c r="DD124" s="67">
        <f>923.018785397321+40.9812146026794</f>
        <v>964.00000000000045</v>
      </c>
      <c r="DE124" s="68"/>
      <c r="DF124" s="67">
        <f>397.90956414565+17.0904358543499</f>
        <v>414.99999999999989</v>
      </c>
      <c r="DG124" s="68"/>
    </row>
    <row r="125" spans="1:111" s="35" customFormat="1" outlineLevel="1" x14ac:dyDescent="0.2">
      <c r="A125" s="30"/>
      <c r="B125" s="33"/>
      <c r="C125" s="34" t="s">
        <v>167</v>
      </c>
      <c r="D125" s="69" t="s">
        <v>167</v>
      </c>
      <c r="E125" s="70"/>
      <c r="F125" s="69" t="s">
        <v>167</v>
      </c>
      <c r="G125" s="70"/>
      <c r="H125" s="85" t="s">
        <v>167</v>
      </c>
      <c r="I125" s="86"/>
      <c r="J125" s="85" t="s">
        <v>167</v>
      </c>
      <c r="K125" s="86"/>
      <c r="L125" s="133"/>
      <c r="M125" s="134"/>
      <c r="N125" s="133"/>
      <c r="O125" s="134"/>
      <c r="P125" s="101" t="s">
        <v>167</v>
      </c>
      <c r="Q125" s="102"/>
      <c r="R125" s="101" t="s">
        <v>167</v>
      </c>
      <c r="S125" s="102"/>
      <c r="T125" s="101" t="s">
        <v>167</v>
      </c>
      <c r="U125" s="102"/>
      <c r="V125" s="117" t="s">
        <v>167</v>
      </c>
      <c r="W125" s="118"/>
      <c r="X125" s="117" t="s">
        <v>167</v>
      </c>
      <c r="Y125" s="118"/>
      <c r="Z125" s="117" t="s">
        <v>167</v>
      </c>
      <c r="AA125" s="118"/>
      <c r="AB125" s="153" t="s">
        <v>167</v>
      </c>
      <c r="AC125" s="154"/>
      <c r="AD125" s="153" t="s">
        <v>167</v>
      </c>
      <c r="AE125" s="154"/>
      <c r="AF125" s="153" t="s">
        <v>167</v>
      </c>
      <c r="AG125" s="154"/>
      <c r="AH125" s="153" t="s">
        <v>167</v>
      </c>
      <c r="AI125" s="154"/>
      <c r="AJ125" s="170" t="s">
        <v>167</v>
      </c>
      <c r="AK125" s="171"/>
      <c r="AL125" s="170" t="s">
        <v>167</v>
      </c>
      <c r="AM125" s="171"/>
      <c r="AN125" s="34"/>
      <c r="AO125" s="56"/>
      <c r="AP125" s="34"/>
      <c r="AQ125" s="56"/>
      <c r="AR125" s="34"/>
      <c r="AS125" s="56"/>
      <c r="AT125" s="34"/>
      <c r="AU125" s="56"/>
      <c r="AV125" s="34"/>
      <c r="AW125" s="56"/>
      <c r="AX125" s="34"/>
      <c r="AY125" s="56"/>
      <c r="AZ125" s="34"/>
      <c r="BA125" s="56"/>
      <c r="BB125" s="34"/>
      <c r="BC125" s="56"/>
      <c r="BD125" s="69" t="s">
        <v>167</v>
      </c>
      <c r="BE125" s="70"/>
      <c r="BF125" s="69" t="s">
        <v>167</v>
      </c>
      <c r="BG125" s="70"/>
      <c r="BH125" s="69" t="s">
        <v>167</v>
      </c>
      <c r="BI125" s="70"/>
      <c r="BJ125" s="69" t="s">
        <v>167</v>
      </c>
      <c r="BK125" s="70"/>
      <c r="BL125" s="85" t="s">
        <v>167</v>
      </c>
      <c r="BM125" s="86"/>
      <c r="BN125" s="85" t="s">
        <v>167</v>
      </c>
      <c r="BO125" s="86"/>
      <c r="BP125" s="101" t="s">
        <v>167</v>
      </c>
      <c r="BQ125" s="102"/>
      <c r="BR125" s="101" t="s">
        <v>167</v>
      </c>
      <c r="BS125" s="102"/>
      <c r="BT125" s="117" t="s">
        <v>167</v>
      </c>
      <c r="BU125" s="118"/>
      <c r="BV125" s="117" t="s">
        <v>167</v>
      </c>
      <c r="BW125" s="118"/>
      <c r="BX125" s="34"/>
      <c r="BY125" s="56"/>
      <c r="BZ125" s="34"/>
      <c r="CA125" s="56"/>
      <c r="CB125" s="34"/>
      <c r="CC125" s="56"/>
      <c r="CD125" s="34"/>
      <c r="CE125" s="56"/>
      <c r="CF125" s="34"/>
      <c r="CG125" s="56"/>
      <c r="CH125" s="34"/>
      <c r="CI125" s="56"/>
      <c r="CJ125" s="34"/>
      <c r="CK125" s="56"/>
      <c r="CL125" s="153" t="s">
        <v>167</v>
      </c>
      <c r="CM125" s="154"/>
      <c r="CN125" s="153" t="s">
        <v>167</v>
      </c>
      <c r="CO125" s="154"/>
      <c r="CP125" s="153" t="s">
        <v>167</v>
      </c>
      <c r="CQ125" s="154"/>
      <c r="CR125" s="170" t="s">
        <v>167</v>
      </c>
      <c r="CS125" s="171"/>
      <c r="CT125" s="170" t="s">
        <v>167</v>
      </c>
      <c r="CU125" s="171"/>
      <c r="CV125" s="170" t="s">
        <v>167</v>
      </c>
      <c r="CW125" s="171"/>
      <c r="CX125" s="34"/>
      <c r="CY125" s="56"/>
      <c r="CZ125" s="34"/>
      <c r="DA125" s="56"/>
      <c r="DB125" s="69" t="s">
        <v>167</v>
      </c>
      <c r="DC125" s="70"/>
      <c r="DD125" s="69" t="s">
        <v>167</v>
      </c>
      <c r="DE125" s="70"/>
      <c r="DF125" s="69" t="s">
        <v>167</v>
      </c>
      <c r="DG125" s="70"/>
    </row>
    <row r="126" spans="1:111" outlineLevel="1" x14ac:dyDescent="0.2">
      <c r="A126" s="30"/>
      <c r="B126" s="30"/>
      <c r="E126" s="66"/>
      <c r="G126" s="66"/>
      <c r="I126" s="82"/>
      <c r="K126" s="82"/>
      <c r="M126" s="130"/>
      <c r="O126" s="130"/>
      <c r="Q126" s="98"/>
      <c r="S126" s="98"/>
      <c r="U126" s="98"/>
      <c r="W126" s="114"/>
      <c r="Y126" s="114"/>
      <c r="AA126" s="114"/>
      <c r="AC126" s="150"/>
      <c r="AE126" s="150"/>
      <c r="AG126" s="150"/>
      <c r="AI126" s="150"/>
      <c r="AK126" s="167"/>
      <c r="AM126" s="167"/>
      <c r="AO126" s="54"/>
      <c r="AQ126" s="54"/>
      <c r="AS126" s="54"/>
      <c r="AU126" s="54"/>
      <c r="AW126" s="54"/>
      <c r="AY126" s="54"/>
      <c r="BA126" s="54"/>
      <c r="BC126" s="54"/>
      <c r="BE126" s="66"/>
      <c r="BG126" s="66"/>
      <c r="BI126" s="66"/>
      <c r="BK126" s="66"/>
      <c r="BM126" s="82"/>
      <c r="BO126" s="82"/>
      <c r="BQ126" s="98"/>
      <c r="BS126" s="98"/>
      <c r="BU126" s="114"/>
      <c r="BW126" s="114"/>
      <c r="BY126" s="54"/>
      <c r="CA126" s="54"/>
      <c r="CC126" s="54"/>
      <c r="CE126" s="54"/>
      <c r="CG126" s="54"/>
      <c r="CI126" s="54"/>
      <c r="CK126" s="54"/>
      <c r="CM126" s="150"/>
      <c r="CO126" s="150"/>
      <c r="CQ126" s="150"/>
      <c r="CS126" s="167"/>
      <c r="CU126" s="167"/>
      <c r="CW126" s="167"/>
      <c r="CY126" s="54"/>
      <c r="DA126" s="54"/>
      <c r="DC126" s="66"/>
      <c r="DE126" s="66"/>
      <c r="DG126" s="66"/>
    </row>
    <row r="127" spans="1:111" outlineLevel="1" x14ac:dyDescent="0.2">
      <c r="A127" s="30"/>
      <c r="B127" s="29" t="s">
        <v>132</v>
      </c>
      <c r="C127" s="36">
        <v>78.897244474249646</v>
      </c>
      <c r="D127" s="71">
        <v>90.62741930797479</v>
      </c>
      <c r="E127" s="68" t="s">
        <v>175</v>
      </c>
      <c r="F127" s="71">
        <v>59.649131435138173</v>
      </c>
      <c r="G127" s="68"/>
      <c r="H127" s="87">
        <v>91.146380882085694</v>
      </c>
      <c r="I127" s="84" t="s">
        <v>177</v>
      </c>
      <c r="J127" s="87">
        <v>52.729945196678706</v>
      </c>
      <c r="K127" s="84"/>
      <c r="L127" s="135"/>
      <c r="M127" s="132"/>
      <c r="N127" s="135"/>
      <c r="O127" s="132"/>
      <c r="P127" s="103">
        <v>75.453705909542606</v>
      </c>
      <c r="Q127" s="100" t="s">
        <v>250</v>
      </c>
      <c r="R127" s="103">
        <v>59.295359481872808</v>
      </c>
      <c r="S127" s="100" t="s">
        <v>182</v>
      </c>
      <c r="T127" s="103">
        <v>43.431013395625989</v>
      </c>
      <c r="U127" s="100"/>
      <c r="V127" s="119">
        <v>66.746886195124858</v>
      </c>
      <c r="W127" s="116" t="s">
        <v>251</v>
      </c>
      <c r="X127" s="119">
        <v>53.936366830284399</v>
      </c>
      <c r="Y127" s="116" t="s">
        <v>185</v>
      </c>
      <c r="Z127" s="119">
        <v>39.711229018975295</v>
      </c>
      <c r="AA127" s="116"/>
      <c r="AB127" s="155">
        <v>74.238894671265555</v>
      </c>
      <c r="AC127" s="152"/>
      <c r="AD127" s="155">
        <v>75.543477407237589</v>
      </c>
      <c r="AE127" s="152"/>
      <c r="AF127" s="155">
        <v>80.649377675598544</v>
      </c>
      <c r="AG127" s="152" t="s">
        <v>170</v>
      </c>
      <c r="AH127" s="155">
        <v>89.92485715783404</v>
      </c>
      <c r="AI127" s="152" t="s">
        <v>241</v>
      </c>
      <c r="AJ127" s="172">
        <v>79.980636639134275</v>
      </c>
      <c r="AK127" s="169"/>
      <c r="AL127" s="172">
        <v>77.841295686340203</v>
      </c>
      <c r="AM127" s="169"/>
      <c r="AN127" s="36"/>
      <c r="AO127" s="55"/>
      <c r="AP127" s="36"/>
      <c r="AQ127" s="55"/>
      <c r="AR127" s="36"/>
      <c r="AS127" s="55"/>
      <c r="AT127" s="36"/>
      <c r="AU127" s="55"/>
      <c r="AV127" s="36"/>
      <c r="AW127" s="55"/>
      <c r="AX127" s="36"/>
      <c r="AY127" s="55"/>
      <c r="AZ127" s="36"/>
      <c r="BA127" s="55"/>
      <c r="BB127" s="36"/>
      <c r="BC127" s="55"/>
      <c r="BD127" s="71">
        <v>82.367263480717497</v>
      </c>
      <c r="BE127" s="68" t="s">
        <v>242</v>
      </c>
      <c r="BF127" s="71">
        <v>76.522298434596635</v>
      </c>
      <c r="BG127" s="68"/>
      <c r="BH127" s="71">
        <v>76.592493657856451</v>
      </c>
      <c r="BI127" s="68"/>
      <c r="BJ127" s="71">
        <v>82.088228108847701</v>
      </c>
      <c r="BK127" s="68" t="s">
        <v>192</v>
      </c>
      <c r="BL127" s="87">
        <v>74.418994638469243</v>
      </c>
      <c r="BM127" s="84"/>
      <c r="BN127" s="87">
        <v>83.864208857804144</v>
      </c>
      <c r="BO127" s="84" t="s">
        <v>195</v>
      </c>
      <c r="BP127" s="103">
        <v>68.503039941270217</v>
      </c>
      <c r="BQ127" s="100"/>
      <c r="BR127" s="103">
        <v>83.524444598986619</v>
      </c>
      <c r="BS127" s="100" t="s">
        <v>197</v>
      </c>
      <c r="BT127" s="119">
        <v>82.427537800196419</v>
      </c>
      <c r="BU127" s="116" t="s">
        <v>200</v>
      </c>
      <c r="BV127" s="119">
        <v>76.441160978450995</v>
      </c>
      <c r="BW127" s="116"/>
      <c r="BX127" s="36"/>
      <c r="BY127" s="55"/>
      <c r="BZ127" s="36"/>
      <c r="CA127" s="55"/>
      <c r="CB127" s="36"/>
      <c r="CC127" s="55"/>
      <c r="CD127" s="36"/>
      <c r="CE127" s="55"/>
      <c r="CF127" s="36"/>
      <c r="CG127" s="55"/>
      <c r="CH127" s="36"/>
      <c r="CI127" s="55"/>
      <c r="CJ127" s="36"/>
      <c r="CK127" s="55"/>
      <c r="CL127" s="155">
        <v>80.365247426257611</v>
      </c>
      <c r="CM127" s="152" t="s">
        <v>202</v>
      </c>
      <c r="CN127" s="155">
        <v>70.609209770600359</v>
      </c>
      <c r="CO127" s="152"/>
      <c r="CP127" s="155">
        <v>77.66695164814287</v>
      </c>
      <c r="CQ127" s="152"/>
      <c r="CR127" s="172">
        <v>89.371670182681896</v>
      </c>
      <c r="CS127" s="169" t="s">
        <v>243</v>
      </c>
      <c r="CT127" s="172">
        <v>70.211678903442376</v>
      </c>
      <c r="CU127" s="169"/>
      <c r="CV127" s="172">
        <v>73.694405636560035</v>
      </c>
      <c r="CW127" s="169"/>
      <c r="CX127" s="36"/>
      <c r="CY127" s="55"/>
      <c r="CZ127" s="36"/>
      <c r="DA127" s="55"/>
      <c r="DB127" s="71">
        <v>82.250519649977036</v>
      </c>
      <c r="DC127" s="68" t="s">
        <v>208</v>
      </c>
      <c r="DD127" s="71">
        <v>80.798499220377707</v>
      </c>
      <c r="DE127" s="68" t="s">
        <v>208</v>
      </c>
      <c r="DF127" s="71">
        <v>69.688841477489561</v>
      </c>
      <c r="DG127" s="68"/>
    </row>
    <row r="128" spans="1:111" outlineLevel="1" x14ac:dyDescent="0.2">
      <c r="A128" s="30"/>
      <c r="B128" s="37" t="s">
        <v>133</v>
      </c>
      <c r="C128" s="38">
        <v>44.844170226884721</v>
      </c>
      <c r="D128" s="72">
        <v>61.243750853873401</v>
      </c>
      <c r="E128" s="68" t="s">
        <v>175</v>
      </c>
      <c r="F128" s="72">
        <v>17.934001693441235</v>
      </c>
      <c r="G128" s="68"/>
      <c r="H128" s="88">
        <v>60.457523462727075</v>
      </c>
      <c r="I128" s="84" t="s">
        <v>177</v>
      </c>
      <c r="J128" s="88">
        <v>11.490040331869965</v>
      </c>
      <c r="K128" s="84"/>
      <c r="L128" s="136"/>
      <c r="M128" s="132"/>
      <c r="N128" s="136"/>
      <c r="O128" s="132"/>
      <c r="P128" s="104">
        <v>30.460392501525718</v>
      </c>
      <c r="Q128" s="100" t="s">
        <v>250</v>
      </c>
      <c r="R128" s="104">
        <v>15.880722804031262</v>
      </c>
      <c r="S128" s="100" t="s">
        <v>182</v>
      </c>
      <c r="T128" s="104">
        <v>8.1343697409174265</v>
      </c>
      <c r="U128" s="100"/>
      <c r="V128" s="120">
        <v>17.803582172258277</v>
      </c>
      <c r="W128" s="116" t="s">
        <v>185</v>
      </c>
      <c r="X128" s="120">
        <v>13.156137923982849</v>
      </c>
      <c r="Y128" s="116" t="s">
        <v>185</v>
      </c>
      <c r="Z128" s="120">
        <v>4.8473495917395484</v>
      </c>
      <c r="AA128" s="116"/>
      <c r="AB128" s="156">
        <v>35.200041215261422</v>
      </c>
      <c r="AC128" s="152"/>
      <c r="AD128" s="156">
        <v>38.235676127614354</v>
      </c>
      <c r="AE128" s="152"/>
      <c r="AF128" s="156">
        <v>46.35124332751969</v>
      </c>
      <c r="AG128" s="152" t="s">
        <v>240</v>
      </c>
      <c r="AH128" s="156">
        <v>68.630707134245426</v>
      </c>
      <c r="AI128" s="152" t="s">
        <v>241</v>
      </c>
      <c r="AJ128" s="173">
        <v>49.031391785055369</v>
      </c>
      <c r="AK128" s="169" t="s">
        <v>187</v>
      </c>
      <c r="AL128" s="173">
        <v>40.763015062236235</v>
      </c>
      <c r="AM128" s="169"/>
      <c r="AN128" s="38"/>
      <c r="AO128" s="55"/>
      <c r="AP128" s="38"/>
      <c r="AQ128" s="55"/>
      <c r="AR128" s="38"/>
      <c r="AS128" s="55"/>
      <c r="AT128" s="38"/>
      <c r="AU128" s="55"/>
      <c r="AV128" s="38"/>
      <c r="AW128" s="55"/>
      <c r="AX128" s="38"/>
      <c r="AY128" s="55"/>
      <c r="AZ128" s="38"/>
      <c r="BA128" s="55"/>
      <c r="BB128" s="38"/>
      <c r="BC128" s="55"/>
      <c r="BD128" s="72">
        <v>47.693899064822887</v>
      </c>
      <c r="BE128" s="68"/>
      <c r="BF128" s="72">
        <v>42.241467534793912</v>
      </c>
      <c r="BG128" s="68"/>
      <c r="BH128" s="72">
        <v>44.758309589375621</v>
      </c>
      <c r="BI128" s="68"/>
      <c r="BJ128" s="72">
        <v>46.661119527944585</v>
      </c>
      <c r="BK128" s="68"/>
      <c r="BL128" s="88">
        <v>38.848329348586404</v>
      </c>
      <c r="BM128" s="84"/>
      <c r="BN128" s="88">
        <v>51.465321194468352</v>
      </c>
      <c r="BO128" s="84" t="s">
        <v>195</v>
      </c>
      <c r="BP128" s="104">
        <v>34.237088582061965</v>
      </c>
      <c r="BQ128" s="100"/>
      <c r="BR128" s="104">
        <v>49.612203323179266</v>
      </c>
      <c r="BS128" s="100" t="s">
        <v>197</v>
      </c>
      <c r="BT128" s="120">
        <v>52.3367514387593</v>
      </c>
      <c r="BU128" s="116" t="s">
        <v>200</v>
      </c>
      <c r="BV128" s="120">
        <v>39.374762743851747</v>
      </c>
      <c r="BW128" s="116"/>
      <c r="BX128" s="38"/>
      <c r="BY128" s="55"/>
      <c r="BZ128" s="38"/>
      <c r="CA128" s="55"/>
      <c r="CB128" s="38"/>
      <c r="CC128" s="55"/>
      <c r="CD128" s="38"/>
      <c r="CE128" s="55"/>
      <c r="CF128" s="38"/>
      <c r="CG128" s="55"/>
      <c r="CH128" s="38"/>
      <c r="CI128" s="55"/>
      <c r="CJ128" s="38"/>
      <c r="CK128" s="55"/>
      <c r="CL128" s="156">
        <v>46.348174989233236</v>
      </c>
      <c r="CM128" s="152" t="s">
        <v>202</v>
      </c>
      <c r="CN128" s="156">
        <v>37.077401263556204</v>
      </c>
      <c r="CO128" s="152"/>
      <c r="CP128" s="156">
        <v>42.310760553252209</v>
      </c>
      <c r="CQ128" s="152"/>
      <c r="CR128" s="173">
        <v>59.494731339399159</v>
      </c>
      <c r="CS128" s="169" t="s">
        <v>243</v>
      </c>
      <c r="CT128" s="173">
        <v>33.801340066036111</v>
      </c>
      <c r="CU128" s="169"/>
      <c r="CV128" s="173">
        <v>37.252458754385081</v>
      </c>
      <c r="CW128" s="169"/>
      <c r="CX128" s="38"/>
      <c r="CY128" s="55"/>
      <c r="CZ128" s="38"/>
      <c r="DA128" s="55"/>
      <c r="DB128" s="72">
        <v>49.63809955714737</v>
      </c>
      <c r="DC128" s="68" t="s">
        <v>208</v>
      </c>
      <c r="DD128" s="72">
        <v>47.56007736123739</v>
      </c>
      <c r="DE128" s="68" t="s">
        <v>208</v>
      </c>
      <c r="DF128" s="72">
        <v>31.684552421241037</v>
      </c>
      <c r="DG128" s="68"/>
    </row>
    <row r="129" spans="1:111" outlineLevel="1" x14ac:dyDescent="0.2">
      <c r="A129" s="30"/>
      <c r="B129" s="37" t="s">
        <v>134</v>
      </c>
      <c r="C129" s="38">
        <v>34.053074247364925</v>
      </c>
      <c r="D129" s="72">
        <v>29.383668454101386</v>
      </c>
      <c r="E129" s="68"/>
      <c r="F129" s="72">
        <v>41.715129741696934</v>
      </c>
      <c r="G129" s="68" t="s">
        <v>174</v>
      </c>
      <c r="H129" s="88">
        <v>30.688857419358612</v>
      </c>
      <c r="I129" s="84"/>
      <c r="J129" s="88">
        <v>41.239904864808743</v>
      </c>
      <c r="K129" s="84" t="s">
        <v>176</v>
      </c>
      <c r="L129" s="136"/>
      <c r="M129" s="132"/>
      <c r="N129" s="136"/>
      <c r="O129" s="132"/>
      <c r="P129" s="104">
        <v>44.993313408016888</v>
      </c>
      <c r="Q129" s="100" t="s">
        <v>182</v>
      </c>
      <c r="R129" s="104">
        <v>43.41463667784155</v>
      </c>
      <c r="S129" s="100"/>
      <c r="T129" s="104">
        <v>35.296643654708568</v>
      </c>
      <c r="U129" s="100"/>
      <c r="V129" s="120">
        <v>48.943304022866585</v>
      </c>
      <c r="W129" s="116" t="s">
        <v>185</v>
      </c>
      <c r="X129" s="120">
        <v>40.780228906301552</v>
      </c>
      <c r="Y129" s="116"/>
      <c r="Z129" s="120">
        <v>34.863879427235744</v>
      </c>
      <c r="AA129" s="116"/>
      <c r="AB129" s="156">
        <v>39.038853456004134</v>
      </c>
      <c r="AC129" s="152" t="s">
        <v>173</v>
      </c>
      <c r="AD129" s="156">
        <v>37.307801279623227</v>
      </c>
      <c r="AE129" s="152" t="s">
        <v>173</v>
      </c>
      <c r="AF129" s="156">
        <v>34.298134348078854</v>
      </c>
      <c r="AG129" s="152" t="s">
        <v>173</v>
      </c>
      <c r="AH129" s="156">
        <v>21.294150023588614</v>
      </c>
      <c r="AI129" s="152"/>
      <c r="AJ129" s="173">
        <v>30.949244854078902</v>
      </c>
      <c r="AK129" s="169"/>
      <c r="AL129" s="173">
        <v>37.078280624103975</v>
      </c>
      <c r="AM129" s="169" t="s">
        <v>186</v>
      </c>
      <c r="AN129" s="38"/>
      <c r="AO129" s="55"/>
      <c r="AP129" s="38"/>
      <c r="AQ129" s="55"/>
      <c r="AR129" s="38"/>
      <c r="AS129" s="55"/>
      <c r="AT129" s="38"/>
      <c r="AU129" s="55"/>
      <c r="AV129" s="38"/>
      <c r="AW129" s="55"/>
      <c r="AX129" s="38"/>
      <c r="AY129" s="55"/>
      <c r="AZ129" s="38"/>
      <c r="BA129" s="55"/>
      <c r="BB129" s="38"/>
      <c r="BC129" s="55"/>
      <c r="BD129" s="72">
        <v>34.673364415894618</v>
      </c>
      <c r="BE129" s="68"/>
      <c r="BF129" s="72">
        <v>34.280830899802723</v>
      </c>
      <c r="BG129" s="68"/>
      <c r="BH129" s="72">
        <v>31.834184068480827</v>
      </c>
      <c r="BI129" s="68"/>
      <c r="BJ129" s="72">
        <v>35.427108580903116</v>
      </c>
      <c r="BK129" s="68"/>
      <c r="BL129" s="88">
        <v>35.570665289882832</v>
      </c>
      <c r="BM129" s="84"/>
      <c r="BN129" s="88">
        <v>32.398887663335799</v>
      </c>
      <c r="BO129" s="84"/>
      <c r="BP129" s="104">
        <v>34.265951359208252</v>
      </c>
      <c r="BQ129" s="100"/>
      <c r="BR129" s="104">
        <v>33.912241275807361</v>
      </c>
      <c r="BS129" s="100"/>
      <c r="BT129" s="120">
        <v>30.090786361437114</v>
      </c>
      <c r="BU129" s="116"/>
      <c r="BV129" s="120">
        <v>37.066398234599248</v>
      </c>
      <c r="BW129" s="116" t="s">
        <v>199</v>
      </c>
      <c r="BX129" s="38"/>
      <c r="BY129" s="55"/>
      <c r="BZ129" s="38"/>
      <c r="CA129" s="55"/>
      <c r="CB129" s="38"/>
      <c r="CC129" s="55"/>
      <c r="CD129" s="38"/>
      <c r="CE129" s="55"/>
      <c r="CF129" s="38"/>
      <c r="CG129" s="55"/>
      <c r="CH129" s="38"/>
      <c r="CI129" s="55"/>
      <c r="CJ129" s="38"/>
      <c r="CK129" s="55"/>
      <c r="CL129" s="156">
        <v>34.017072437024375</v>
      </c>
      <c r="CM129" s="152"/>
      <c r="CN129" s="156">
        <v>33.531808507044154</v>
      </c>
      <c r="CO129" s="152"/>
      <c r="CP129" s="156">
        <v>35.356191094890661</v>
      </c>
      <c r="CQ129" s="152"/>
      <c r="CR129" s="173">
        <v>29.876938843282737</v>
      </c>
      <c r="CS129" s="169"/>
      <c r="CT129" s="173">
        <v>36.410338837406265</v>
      </c>
      <c r="CU129" s="169" t="s">
        <v>48</v>
      </c>
      <c r="CV129" s="173">
        <v>36.441946882174953</v>
      </c>
      <c r="CW129" s="169" t="s">
        <v>48</v>
      </c>
      <c r="CX129" s="38"/>
      <c r="CY129" s="55"/>
      <c r="CZ129" s="38"/>
      <c r="DA129" s="55"/>
      <c r="DB129" s="72">
        <v>32.612420092829666</v>
      </c>
      <c r="DC129" s="68"/>
      <c r="DD129" s="72">
        <v>33.238421859140317</v>
      </c>
      <c r="DE129" s="68"/>
      <c r="DF129" s="72">
        <v>38.004289056248517</v>
      </c>
      <c r="DG129" s="68"/>
    </row>
    <row r="130" spans="1:111" outlineLevel="1" x14ac:dyDescent="0.2">
      <c r="A130" s="30"/>
      <c r="B130" s="29"/>
      <c r="E130" s="66"/>
      <c r="G130" s="66"/>
      <c r="I130" s="82"/>
      <c r="K130" s="82"/>
      <c r="M130" s="130"/>
      <c r="O130" s="130"/>
      <c r="Q130" s="98"/>
      <c r="S130" s="98"/>
      <c r="U130" s="98"/>
      <c r="W130" s="114"/>
      <c r="Y130" s="114"/>
      <c r="AA130" s="114"/>
      <c r="AC130" s="150"/>
      <c r="AE130" s="150"/>
      <c r="AG130" s="150"/>
      <c r="AI130" s="150"/>
      <c r="AK130" s="167"/>
      <c r="AM130" s="167"/>
      <c r="AO130" s="54"/>
      <c r="AQ130" s="54"/>
      <c r="AS130" s="54"/>
      <c r="AU130" s="54"/>
      <c r="AW130" s="54"/>
      <c r="AY130" s="54"/>
      <c r="BA130" s="54"/>
      <c r="BC130" s="54"/>
      <c r="BE130" s="66"/>
      <c r="BG130" s="66"/>
      <c r="BI130" s="66"/>
      <c r="BK130" s="66"/>
      <c r="BM130" s="82"/>
      <c r="BO130" s="82"/>
      <c r="BQ130" s="98"/>
      <c r="BS130" s="98"/>
      <c r="BU130" s="114"/>
      <c r="BW130" s="114"/>
      <c r="BY130" s="54"/>
      <c r="CA130" s="54"/>
      <c r="CC130" s="54"/>
      <c r="CE130" s="54"/>
      <c r="CG130" s="54"/>
      <c r="CI130" s="54"/>
      <c r="CK130" s="54"/>
      <c r="CM130" s="150"/>
      <c r="CO130" s="150"/>
      <c r="CQ130" s="150"/>
      <c r="CS130" s="167"/>
      <c r="CU130" s="167"/>
      <c r="CW130" s="167"/>
      <c r="CY130" s="54"/>
      <c r="DA130" s="54"/>
      <c r="DC130" s="66"/>
      <c r="DE130" s="66"/>
      <c r="DG130" s="66"/>
    </row>
    <row r="131" spans="1:111" outlineLevel="1" x14ac:dyDescent="0.2">
      <c r="A131" s="30"/>
      <c r="B131" s="29" t="s">
        <v>135</v>
      </c>
      <c r="C131" s="36">
        <v>21.10275552575035</v>
      </c>
      <c r="D131" s="71">
        <v>9.3725806920252115</v>
      </c>
      <c r="E131" s="68"/>
      <c r="F131" s="71">
        <v>40.350868564861834</v>
      </c>
      <c r="G131" s="68" t="s">
        <v>174</v>
      </c>
      <c r="H131" s="87">
        <v>8.8536191179143149</v>
      </c>
      <c r="I131" s="84"/>
      <c r="J131" s="87">
        <v>47.270054803321294</v>
      </c>
      <c r="K131" s="84" t="s">
        <v>176</v>
      </c>
      <c r="L131" s="135"/>
      <c r="M131" s="132"/>
      <c r="N131" s="135"/>
      <c r="O131" s="132"/>
      <c r="P131" s="103">
        <v>24.546294090457394</v>
      </c>
      <c r="Q131" s="100"/>
      <c r="R131" s="103">
        <v>40.704640518127185</v>
      </c>
      <c r="S131" s="100" t="s">
        <v>180</v>
      </c>
      <c r="T131" s="103">
        <v>56.568986604374011</v>
      </c>
      <c r="U131" s="100" t="s">
        <v>254</v>
      </c>
      <c r="V131" s="119">
        <v>33.253113804875142</v>
      </c>
      <c r="W131" s="116"/>
      <c r="X131" s="119">
        <v>46.063633169715601</v>
      </c>
      <c r="Y131" s="116" t="s">
        <v>183</v>
      </c>
      <c r="Z131" s="119">
        <v>60.288770981024705</v>
      </c>
      <c r="AA131" s="116" t="s">
        <v>257</v>
      </c>
      <c r="AB131" s="155">
        <v>25.761105328734445</v>
      </c>
      <c r="AC131" s="152" t="s">
        <v>244</v>
      </c>
      <c r="AD131" s="155">
        <v>24.456522592762415</v>
      </c>
      <c r="AE131" s="152" t="s">
        <v>173</v>
      </c>
      <c r="AF131" s="155">
        <v>19.35062232440146</v>
      </c>
      <c r="AG131" s="152" t="s">
        <v>173</v>
      </c>
      <c r="AH131" s="155">
        <v>10.07514284216596</v>
      </c>
      <c r="AI131" s="152"/>
      <c r="AJ131" s="172">
        <v>20.019363360865718</v>
      </c>
      <c r="AK131" s="169"/>
      <c r="AL131" s="172">
        <v>22.158704313659797</v>
      </c>
      <c r="AM131" s="169"/>
      <c r="AN131" s="36"/>
      <c r="AO131" s="55"/>
      <c r="AP131" s="36"/>
      <c r="AQ131" s="55"/>
      <c r="AR131" s="36"/>
      <c r="AS131" s="55"/>
      <c r="AT131" s="36"/>
      <c r="AU131" s="55"/>
      <c r="AV131" s="36"/>
      <c r="AW131" s="55"/>
      <c r="AX131" s="36"/>
      <c r="AY131" s="55"/>
      <c r="AZ131" s="36"/>
      <c r="BA131" s="55"/>
      <c r="BB131" s="36"/>
      <c r="BC131" s="55"/>
      <c r="BD131" s="71">
        <v>17.632736519282496</v>
      </c>
      <c r="BE131" s="68"/>
      <c r="BF131" s="71">
        <v>23.477701565403358</v>
      </c>
      <c r="BG131" s="68" t="s">
        <v>248</v>
      </c>
      <c r="BH131" s="71">
        <v>23.407506342143552</v>
      </c>
      <c r="BI131" s="68" t="s">
        <v>191</v>
      </c>
      <c r="BJ131" s="71">
        <v>17.911771891152288</v>
      </c>
      <c r="BK131" s="68"/>
      <c r="BL131" s="87">
        <v>25.581005361530764</v>
      </c>
      <c r="BM131" s="84" t="s">
        <v>196</v>
      </c>
      <c r="BN131" s="87">
        <v>16.135791142195849</v>
      </c>
      <c r="BO131" s="84"/>
      <c r="BP131" s="103">
        <v>31.496960058729776</v>
      </c>
      <c r="BQ131" s="100" t="s">
        <v>198</v>
      </c>
      <c r="BR131" s="103">
        <v>16.47555540101337</v>
      </c>
      <c r="BS131" s="100"/>
      <c r="BT131" s="119">
        <v>17.572462199803578</v>
      </c>
      <c r="BU131" s="116"/>
      <c r="BV131" s="119">
        <v>23.558839021549012</v>
      </c>
      <c r="BW131" s="116" t="s">
        <v>199</v>
      </c>
      <c r="BX131" s="36"/>
      <c r="BY131" s="55"/>
      <c r="BZ131" s="36"/>
      <c r="CA131" s="55"/>
      <c r="CB131" s="36"/>
      <c r="CC131" s="55"/>
      <c r="CD131" s="36"/>
      <c r="CE131" s="55"/>
      <c r="CF131" s="36"/>
      <c r="CG131" s="55"/>
      <c r="CH131" s="36"/>
      <c r="CI131" s="55"/>
      <c r="CJ131" s="36"/>
      <c r="CK131" s="55"/>
      <c r="CL131" s="155">
        <v>19.634752573742379</v>
      </c>
      <c r="CM131" s="152"/>
      <c r="CN131" s="155">
        <v>29.390790229399641</v>
      </c>
      <c r="CO131" s="152" t="s">
        <v>201</v>
      </c>
      <c r="CP131" s="155">
        <v>22.333048351857126</v>
      </c>
      <c r="CQ131" s="152"/>
      <c r="CR131" s="172">
        <v>10.628329817318098</v>
      </c>
      <c r="CS131" s="169"/>
      <c r="CT131" s="172">
        <v>29.788321096557624</v>
      </c>
      <c r="CU131" s="169" t="s">
        <v>48</v>
      </c>
      <c r="CV131" s="172">
        <v>26.305594363439962</v>
      </c>
      <c r="CW131" s="169" t="s">
        <v>48</v>
      </c>
      <c r="CX131" s="36"/>
      <c r="CY131" s="55"/>
      <c r="CZ131" s="36"/>
      <c r="DA131" s="55"/>
      <c r="DB131" s="71">
        <v>17.749480350022971</v>
      </c>
      <c r="DC131" s="68"/>
      <c r="DD131" s="71">
        <v>19.201500779622286</v>
      </c>
      <c r="DE131" s="68"/>
      <c r="DF131" s="71">
        <v>30.31115852251045</v>
      </c>
      <c r="DG131" s="68" t="s">
        <v>249</v>
      </c>
    </row>
    <row r="132" spans="1:111" outlineLevel="1" x14ac:dyDescent="0.2">
      <c r="A132" s="30"/>
      <c r="B132" s="37" t="s">
        <v>136</v>
      </c>
      <c r="C132" s="38">
        <v>11.822048292608411</v>
      </c>
      <c r="D132" s="72">
        <v>7.0331444828309939</v>
      </c>
      <c r="E132" s="68"/>
      <c r="F132" s="72">
        <v>19.680188786730504</v>
      </c>
      <c r="G132" s="68" t="s">
        <v>174</v>
      </c>
      <c r="H132" s="88">
        <v>6.6422724224263723</v>
      </c>
      <c r="I132" s="84"/>
      <c r="J132" s="88">
        <v>22.887379012501906</v>
      </c>
      <c r="K132" s="84" t="s">
        <v>176</v>
      </c>
      <c r="L132" s="136"/>
      <c r="M132" s="132"/>
      <c r="N132" s="136"/>
      <c r="O132" s="132"/>
      <c r="P132" s="104">
        <v>13.717574299948462</v>
      </c>
      <c r="Q132" s="100"/>
      <c r="R132" s="104">
        <v>23.33061745565508</v>
      </c>
      <c r="S132" s="100" t="s">
        <v>180</v>
      </c>
      <c r="T132" s="104">
        <v>25.19698313422483</v>
      </c>
      <c r="U132" s="100" t="s">
        <v>180</v>
      </c>
      <c r="V132" s="120">
        <v>17.982202240212871</v>
      </c>
      <c r="W132" s="116"/>
      <c r="X132" s="120">
        <v>26.16157791142766</v>
      </c>
      <c r="Y132" s="116"/>
      <c r="Z132" s="120">
        <v>27.089351992019147</v>
      </c>
      <c r="AA132" s="116"/>
      <c r="AB132" s="156">
        <v>15.706385896403447</v>
      </c>
      <c r="AC132" s="152" t="s">
        <v>173</v>
      </c>
      <c r="AD132" s="156">
        <v>13.171263028361095</v>
      </c>
      <c r="AE132" s="152" t="s">
        <v>173</v>
      </c>
      <c r="AF132" s="156">
        <v>12.228839649067174</v>
      </c>
      <c r="AG132" s="152" t="s">
        <v>173</v>
      </c>
      <c r="AH132" s="156">
        <v>4.2843214341877651</v>
      </c>
      <c r="AI132" s="152"/>
      <c r="AJ132" s="173">
        <v>11.649080062194159</v>
      </c>
      <c r="AK132" s="169"/>
      <c r="AL132" s="173">
        <v>11.990635069560248</v>
      </c>
      <c r="AM132" s="169"/>
      <c r="AN132" s="38"/>
      <c r="AO132" s="55"/>
      <c r="AP132" s="38"/>
      <c r="AQ132" s="55"/>
      <c r="AR132" s="38"/>
      <c r="AS132" s="55"/>
      <c r="AT132" s="38"/>
      <c r="AU132" s="55"/>
      <c r="AV132" s="38"/>
      <c r="AW132" s="55"/>
      <c r="AX132" s="38"/>
      <c r="AY132" s="55"/>
      <c r="AZ132" s="38"/>
      <c r="BA132" s="55"/>
      <c r="BB132" s="38"/>
      <c r="BC132" s="55"/>
      <c r="BD132" s="72">
        <v>10.264650925405329</v>
      </c>
      <c r="BE132" s="68"/>
      <c r="BF132" s="72">
        <v>14.061709938548148</v>
      </c>
      <c r="BG132" s="68" t="s">
        <v>194</v>
      </c>
      <c r="BH132" s="72">
        <v>11.852401601560359</v>
      </c>
      <c r="BI132" s="68"/>
      <c r="BJ132" s="72">
        <v>9.5187118634212844</v>
      </c>
      <c r="BK132" s="68"/>
      <c r="BL132" s="88">
        <v>14.240432704322316</v>
      </c>
      <c r="BM132" s="84" t="s">
        <v>196</v>
      </c>
      <c r="BN132" s="88">
        <v>9.4231010307266061</v>
      </c>
      <c r="BO132" s="84"/>
      <c r="BP132" s="104">
        <v>18.532759771487143</v>
      </c>
      <c r="BQ132" s="100" t="s">
        <v>198</v>
      </c>
      <c r="BR132" s="104">
        <v>8.8894263266385991</v>
      </c>
      <c r="BS132" s="100"/>
      <c r="BT132" s="120">
        <v>10.566259879897384</v>
      </c>
      <c r="BU132" s="116"/>
      <c r="BV132" s="120">
        <v>12.782713945917539</v>
      </c>
      <c r="BW132" s="116"/>
      <c r="BX132" s="38"/>
      <c r="BY132" s="55"/>
      <c r="BZ132" s="38"/>
      <c r="CA132" s="55"/>
      <c r="CB132" s="38"/>
      <c r="CC132" s="55"/>
      <c r="CD132" s="38"/>
      <c r="CE132" s="55"/>
      <c r="CF132" s="38"/>
      <c r="CG132" s="55"/>
      <c r="CH132" s="38"/>
      <c r="CI132" s="55"/>
      <c r="CJ132" s="38"/>
      <c r="CK132" s="55"/>
      <c r="CL132" s="156">
        <v>9.8232087322925583</v>
      </c>
      <c r="CM132" s="152"/>
      <c r="CN132" s="156">
        <v>21.473394371431468</v>
      </c>
      <c r="CO132" s="152" t="s">
        <v>259</v>
      </c>
      <c r="CP132" s="156">
        <v>12.44255682520421</v>
      </c>
      <c r="CQ132" s="152"/>
      <c r="CR132" s="173">
        <v>6.6914527346916781</v>
      </c>
      <c r="CS132" s="169"/>
      <c r="CT132" s="173">
        <v>14.923934032488395</v>
      </c>
      <c r="CU132" s="169" t="s">
        <v>48</v>
      </c>
      <c r="CV132" s="173">
        <v>16.50020913529772</v>
      </c>
      <c r="CW132" s="169" t="s">
        <v>48</v>
      </c>
      <c r="CX132" s="38"/>
      <c r="CY132" s="55"/>
      <c r="CZ132" s="38"/>
      <c r="DA132" s="55"/>
      <c r="DB132" s="72">
        <v>11.227820571932055</v>
      </c>
      <c r="DC132" s="68"/>
      <c r="DD132" s="72">
        <v>11.481299547514814</v>
      </c>
      <c r="DE132" s="68"/>
      <c r="DF132" s="72">
        <v>13.462574545055775</v>
      </c>
      <c r="DG132" s="68"/>
    </row>
    <row r="133" spans="1:111" outlineLevel="1" x14ac:dyDescent="0.2">
      <c r="A133" s="30"/>
      <c r="B133" s="37" t="s">
        <v>137</v>
      </c>
      <c r="C133" s="38">
        <v>9.2807072331419374</v>
      </c>
      <c r="D133" s="72">
        <v>2.3394362091942171</v>
      </c>
      <c r="E133" s="68"/>
      <c r="F133" s="72">
        <v>20.67067977813133</v>
      </c>
      <c r="G133" s="68" t="s">
        <v>174</v>
      </c>
      <c r="H133" s="88">
        <v>2.2113466954879435</v>
      </c>
      <c r="I133" s="84"/>
      <c r="J133" s="88">
        <v>24.382675790819391</v>
      </c>
      <c r="K133" s="84" t="s">
        <v>176</v>
      </c>
      <c r="L133" s="136"/>
      <c r="M133" s="132"/>
      <c r="N133" s="136"/>
      <c r="O133" s="132"/>
      <c r="P133" s="104">
        <v>10.828719790508931</v>
      </c>
      <c r="Q133" s="100"/>
      <c r="R133" s="104">
        <v>17.374023062472105</v>
      </c>
      <c r="S133" s="100"/>
      <c r="T133" s="104">
        <v>31.372003470149185</v>
      </c>
      <c r="U133" s="100" t="s">
        <v>254</v>
      </c>
      <c r="V133" s="120">
        <v>15.270911564662272</v>
      </c>
      <c r="W133" s="116"/>
      <c r="X133" s="120">
        <v>19.902055258287941</v>
      </c>
      <c r="Y133" s="116"/>
      <c r="Z133" s="120">
        <v>33.199418989005558</v>
      </c>
      <c r="AA133" s="116" t="s">
        <v>257</v>
      </c>
      <c r="AB133" s="156">
        <v>10.054719432330998</v>
      </c>
      <c r="AC133" s="152" t="s">
        <v>173</v>
      </c>
      <c r="AD133" s="156">
        <v>11.285259564401318</v>
      </c>
      <c r="AE133" s="152" t="s">
        <v>244</v>
      </c>
      <c r="AF133" s="156">
        <v>7.121782675334285</v>
      </c>
      <c r="AG133" s="152"/>
      <c r="AH133" s="156">
        <v>5.7908214079781937</v>
      </c>
      <c r="AI133" s="152"/>
      <c r="AJ133" s="173">
        <v>8.370283298671561</v>
      </c>
      <c r="AK133" s="169"/>
      <c r="AL133" s="173">
        <v>10.168069244099549</v>
      </c>
      <c r="AM133" s="169"/>
      <c r="AN133" s="38"/>
      <c r="AO133" s="55"/>
      <c r="AP133" s="38"/>
      <c r="AQ133" s="55"/>
      <c r="AR133" s="38"/>
      <c r="AS133" s="55"/>
      <c r="AT133" s="38"/>
      <c r="AU133" s="55"/>
      <c r="AV133" s="38"/>
      <c r="AW133" s="55"/>
      <c r="AX133" s="38"/>
      <c r="AY133" s="55"/>
      <c r="AZ133" s="38"/>
      <c r="BA133" s="55"/>
      <c r="BB133" s="38"/>
      <c r="BC133" s="55"/>
      <c r="BD133" s="72">
        <v>7.3680855938771685</v>
      </c>
      <c r="BE133" s="68"/>
      <c r="BF133" s="72">
        <v>9.4159916268552077</v>
      </c>
      <c r="BG133" s="68"/>
      <c r="BH133" s="72">
        <v>11.555104740583193</v>
      </c>
      <c r="BI133" s="68" t="s">
        <v>191</v>
      </c>
      <c r="BJ133" s="72">
        <v>8.3930600277310035</v>
      </c>
      <c r="BK133" s="68"/>
      <c r="BL133" s="88">
        <v>11.340572657208448</v>
      </c>
      <c r="BM133" s="84" t="s">
        <v>196</v>
      </c>
      <c r="BN133" s="88">
        <v>6.7126901114692412</v>
      </c>
      <c r="BO133" s="84"/>
      <c r="BP133" s="104">
        <v>12.964200287242635</v>
      </c>
      <c r="BQ133" s="100" t="s">
        <v>198</v>
      </c>
      <c r="BR133" s="104">
        <v>7.5861290743747691</v>
      </c>
      <c r="BS133" s="100"/>
      <c r="BT133" s="120">
        <v>7.0062023199061949</v>
      </c>
      <c r="BU133" s="116"/>
      <c r="BV133" s="120">
        <v>10.776125075631473</v>
      </c>
      <c r="BW133" s="116" t="s">
        <v>199</v>
      </c>
      <c r="BX133" s="38"/>
      <c r="BY133" s="55"/>
      <c r="BZ133" s="38"/>
      <c r="CA133" s="55"/>
      <c r="CB133" s="38"/>
      <c r="CC133" s="55"/>
      <c r="CD133" s="38"/>
      <c r="CE133" s="55"/>
      <c r="CF133" s="38"/>
      <c r="CG133" s="55"/>
      <c r="CH133" s="38"/>
      <c r="CI133" s="55"/>
      <c r="CJ133" s="38"/>
      <c r="CK133" s="55"/>
      <c r="CL133" s="156">
        <v>9.8115438414498222</v>
      </c>
      <c r="CM133" s="152"/>
      <c r="CN133" s="156">
        <v>7.9173958579681747</v>
      </c>
      <c r="CO133" s="152"/>
      <c r="CP133" s="156">
        <v>9.8904915266529176</v>
      </c>
      <c r="CQ133" s="152"/>
      <c r="CR133" s="173">
        <v>3.9368770826264199</v>
      </c>
      <c r="CS133" s="169"/>
      <c r="CT133" s="173">
        <v>14.864387064069227</v>
      </c>
      <c r="CU133" s="169" t="s">
        <v>255</v>
      </c>
      <c r="CV133" s="173">
        <v>9.8053852281422422</v>
      </c>
      <c r="CW133" s="169" t="s">
        <v>48</v>
      </c>
      <c r="CX133" s="38"/>
      <c r="CY133" s="55"/>
      <c r="CZ133" s="38"/>
      <c r="DA133" s="55"/>
      <c r="DB133" s="72">
        <v>6.5216597780909149</v>
      </c>
      <c r="DC133" s="68"/>
      <c r="DD133" s="72">
        <v>7.7202012321074722</v>
      </c>
      <c r="DE133" s="68"/>
      <c r="DF133" s="72">
        <v>16.848583977454673</v>
      </c>
      <c r="DG133" s="68" t="s">
        <v>249</v>
      </c>
    </row>
    <row r="134" spans="1:111" outlineLevel="1" x14ac:dyDescent="0.2">
      <c r="A134" s="30"/>
      <c r="B134" s="29"/>
      <c r="E134" s="66"/>
      <c r="G134" s="66"/>
      <c r="I134" s="82"/>
      <c r="K134" s="82"/>
      <c r="M134" s="130"/>
      <c r="O134" s="130"/>
      <c r="Q134" s="98"/>
      <c r="S134" s="98"/>
      <c r="U134" s="98"/>
      <c r="W134" s="114"/>
      <c r="Y134" s="114"/>
      <c r="AA134" s="114"/>
      <c r="AC134" s="150"/>
      <c r="AE134" s="150"/>
      <c r="AG134" s="150"/>
      <c r="AI134" s="150"/>
      <c r="AK134" s="167"/>
      <c r="AM134" s="167"/>
      <c r="AO134" s="54"/>
      <c r="AQ134" s="54"/>
      <c r="AS134" s="54"/>
      <c r="AU134" s="54"/>
      <c r="AW134" s="54"/>
      <c r="AY134" s="54"/>
      <c r="BA134" s="54"/>
      <c r="BC134" s="54"/>
      <c r="BE134" s="66"/>
      <c r="BG134" s="66"/>
      <c r="BI134" s="66"/>
      <c r="BK134" s="66"/>
      <c r="BM134" s="82"/>
      <c r="BO134" s="82"/>
      <c r="BQ134" s="98"/>
      <c r="BS134" s="98"/>
      <c r="BU134" s="114"/>
      <c r="BW134" s="114"/>
      <c r="BY134" s="54"/>
      <c r="CA134" s="54"/>
      <c r="CC134" s="54"/>
      <c r="CE134" s="54"/>
      <c r="CG134" s="54"/>
      <c r="CI134" s="54"/>
      <c r="CK134" s="54"/>
      <c r="CM134" s="150"/>
      <c r="CO134" s="150"/>
      <c r="CQ134" s="150"/>
      <c r="CS134" s="167"/>
      <c r="CU134" s="167"/>
      <c r="CW134" s="167"/>
      <c r="CY134" s="54"/>
      <c r="DA134" s="54"/>
      <c r="DC134" s="66"/>
      <c r="DE134" s="66"/>
      <c r="DG134" s="66"/>
    </row>
    <row r="135" spans="1:111" outlineLevel="1" x14ac:dyDescent="0.2">
      <c r="A135" s="30"/>
      <c r="B135" s="30" t="s">
        <v>87</v>
      </c>
      <c r="C135" s="41">
        <v>3.1446070746799242</v>
      </c>
      <c r="D135" s="73">
        <v>3.4953173395265398</v>
      </c>
      <c r="E135" s="74" t="s">
        <v>175</v>
      </c>
      <c r="F135" s="73">
        <v>2.5691245335044806</v>
      </c>
      <c r="G135" s="74"/>
      <c r="H135" s="89">
        <v>3.4939255764932482</v>
      </c>
      <c r="I135" s="90" t="s">
        <v>177</v>
      </c>
      <c r="J135" s="89">
        <v>2.3983730973772928</v>
      </c>
      <c r="K135" s="90"/>
      <c r="L135" s="137"/>
      <c r="M135" s="138"/>
      <c r="N135" s="137"/>
      <c r="O135" s="138"/>
      <c r="P135" s="105">
        <v>2.9508537862055939</v>
      </c>
      <c r="Q135" s="106" t="s">
        <v>250</v>
      </c>
      <c r="R135" s="105">
        <v>2.5780205922343198</v>
      </c>
      <c r="S135" s="106" t="s">
        <v>182</v>
      </c>
      <c r="T135" s="105">
        <v>2.2019337966639423</v>
      </c>
      <c r="U135" s="106"/>
      <c r="V135" s="121">
        <v>2.6927955680272087</v>
      </c>
      <c r="W135" s="122" t="s">
        <v>251</v>
      </c>
      <c r="X135" s="121">
        <v>2.471904494959793</v>
      </c>
      <c r="Y135" s="122" t="s">
        <v>185</v>
      </c>
      <c r="Z135" s="121">
        <v>2.113591596217093</v>
      </c>
      <c r="AA135" s="122"/>
      <c r="AB135" s="157">
        <v>2.9938421645419599</v>
      </c>
      <c r="AC135" s="158"/>
      <c r="AD135" s="157">
        <v>3.0249389397045063</v>
      </c>
      <c r="AE135" s="158"/>
      <c r="AF135" s="157">
        <v>3.1987883832778397</v>
      </c>
      <c r="AG135" s="158" t="s">
        <v>240</v>
      </c>
      <c r="AH135" s="157">
        <v>3.5276474288410129</v>
      </c>
      <c r="AI135" s="158" t="s">
        <v>241</v>
      </c>
      <c r="AJ135" s="174">
        <v>3.2064174512551809</v>
      </c>
      <c r="AK135" s="175" t="s">
        <v>187</v>
      </c>
      <c r="AL135" s="174">
        <v>3.0843624150447688</v>
      </c>
      <c r="AM135" s="175"/>
      <c r="AN135" s="41"/>
      <c r="AO135" s="57"/>
      <c r="AP135" s="41"/>
      <c r="AQ135" s="57"/>
      <c r="AR135" s="41"/>
      <c r="AS135" s="57"/>
      <c r="AT135" s="41"/>
      <c r="AU135" s="57"/>
      <c r="AV135" s="41"/>
      <c r="AW135" s="57"/>
      <c r="AX135" s="41"/>
      <c r="AY135" s="57"/>
      <c r="AZ135" s="41"/>
      <c r="BA135" s="57"/>
      <c r="BB135" s="41"/>
      <c r="BC135" s="57"/>
      <c r="BD135" s="73">
        <v>3.226930769516632</v>
      </c>
      <c r="BE135" s="74" t="s">
        <v>192</v>
      </c>
      <c r="BF135" s="73">
        <v>3.0934777434253538</v>
      </c>
      <c r="BG135" s="74"/>
      <c r="BH135" s="73">
        <v>3.0979569850664888</v>
      </c>
      <c r="BI135" s="74"/>
      <c r="BJ135" s="73">
        <v>3.2035628760906127</v>
      </c>
      <c r="BK135" s="74"/>
      <c r="BL135" s="89">
        <v>3.0192675132984719</v>
      </c>
      <c r="BM135" s="90"/>
      <c r="BN135" s="89">
        <v>3.2861683994080324</v>
      </c>
      <c r="BO135" s="90" t="s">
        <v>195</v>
      </c>
      <c r="BP135" s="105">
        <v>2.8977592823608953</v>
      </c>
      <c r="BQ135" s="106"/>
      <c r="BR135" s="105">
        <v>3.2555051884779114</v>
      </c>
      <c r="BS135" s="106" t="s">
        <v>197</v>
      </c>
      <c r="BT135" s="121">
        <v>3.2775808691904951</v>
      </c>
      <c r="BU135" s="122" t="s">
        <v>200</v>
      </c>
      <c r="BV135" s="121">
        <v>3.0503979864667126</v>
      </c>
      <c r="BW135" s="122"/>
      <c r="BX135" s="41"/>
      <c r="BY135" s="57"/>
      <c r="BZ135" s="41"/>
      <c r="CA135" s="57"/>
      <c r="CB135" s="41"/>
      <c r="CC135" s="57"/>
      <c r="CD135" s="41"/>
      <c r="CE135" s="57"/>
      <c r="CF135" s="41"/>
      <c r="CG135" s="57"/>
      <c r="CH135" s="41"/>
      <c r="CI135" s="57"/>
      <c r="CJ135" s="41"/>
      <c r="CK135" s="57"/>
      <c r="CL135" s="157">
        <v>3.1690187857404104</v>
      </c>
      <c r="CM135" s="158" t="s">
        <v>202</v>
      </c>
      <c r="CN135" s="157">
        <v>2.9976921517618837</v>
      </c>
      <c r="CO135" s="158"/>
      <c r="CP135" s="157">
        <v>3.1008722067474217</v>
      </c>
      <c r="CQ135" s="158"/>
      <c r="CR135" s="174">
        <v>3.4492952443945466</v>
      </c>
      <c r="CS135" s="175" t="s">
        <v>243</v>
      </c>
      <c r="CT135" s="174">
        <v>2.8914863190540925</v>
      </c>
      <c r="CU135" s="175"/>
      <c r="CV135" s="174">
        <v>3.0114147916280287</v>
      </c>
      <c r="CW135" s="175"/>
      <c r="CX135" s="41"/>
      <c r="CY135" s="57"/>
      <c r="CZ135" s="41"/>
      <c r="DA135" s="57"/>
      <c r="DB135" s="73">
        <v>3.2536695942903346</v>
      </c>
      <c r="DC135" s="74" t="s">
        <v>208</v>
      </c>
      <c r="DD135" s="73">
        <v>3.2063837534950763</v>
      </c>
      <c r="DE135" s="74" t="s">
        <v>208</v>
      </c>
      <c r="DF135" s="73">
        <v>2.8452480992127591</v>
      </c>
      <c r="DG135" s="74"/>
    </row>
    <row r="136" spans="1:111" outlineLevel="1" x14ac:dyDescent="0.2">
      <c r="A136" s="30"/>
      <c r="B136" s="30" t="s">
        <v>88</v>
      </c>
      <c r="C136" s="41">
        <v>2.2067268782576119E-2</v>
      </c>
      <c r="D136" s="73">
        <v>2.1155984802221001E-2</v>
      </c>
      <c r="E136" s="74"/>
      <c r="F136" s="73">
        <v>3.8197948544740942E-2</v>
      </c>
      <c r="G136" s="74"/>
      <c r="H136" s="89">
        <v>1.9955213033789134E-2</v>
      </c>
      <c r="I136" s="90"/>
      <c r="J136" s="89">
        <v>4.0315676966473708E-2</v>
      </c>
      <c r="K136" s="90"/>
      <c r="L136" s="137"/>
      <c r="M136" s="138"/>
      <c r="N136" s="137"/>
      <c r="O136" s="138"/>
      <c r="P136" s="105">
        <v>6.6420155258605174E-2</v>
      </c>
      <c r="Q136" s="106"/>
      <c r="R136" s="105">
        <v>7.0358850507601531E-2</v>
      </c>
      <c r="S136" s="106"/>
      <c r="T136" s="105">
        <v>6.8596164391664854E-2</v>
      </c>
      <c r="U136" s="106"/>
      <c r="V136" s="121">
        <v>7.8219398073428481E-2</v>
      </c>
      <c r="W136" s="122"/>
      <c r="X136" s="121">
        <v>7.5593566603682244E-2</v>
      </c>
      <c r="Y136" s="122"/>
      <c r="Z136" s="121">
        <v>6.7807028028506564E-2</v>
      </c>
      <c r="AA136" s="122"/>
      <c r="AB136" s="157">
        <v>4.6675312913661754E-2</v>
      </c>
      <c r="AC136" s="158"/>
      <c r="AD136" s="157">
        <v>3.6157762446524827E-2</v>
      </c>
      <c r="AE136" s="158"/>
      <c r="AF136" s="157">
        <v>5.1675389760827466E-2</v>
      </c>
      <c r="AG136" s="158"/>
      <c r="AH136" s="157">
        <v>3.9788564826217468E-2</v>
      </c>
      <c r="AI136" s="158"/>
      <c r="AJ136" s="174">
        <v>3.120344080643318E-2</v>
      </c>
      <c r="AK136" s="175"/>
      <c r="AL136" s="174">
        <v>3.1080142522582194E-2</v>
      </c>
      <c r="AM136" s="175"/>
      <c r="AN136" s="41"/>
      <c r="AO136" s="57"/>
      <c r="AP136" s="41"/>
      <c r="AQ136" s="57"/>
      <c r="AR136" s="41"/>
      <c r="AS136" s="57"/>
      <c r="AT136" s="41"/>
      <c r="AU136" s="57"/>
      <c r="AV136" s="41"/>
      <c r="AW136" s="57"/>
      <c r="AX136" s="41"/>
      <c r="AY136" s="57"/>
      <c r="AZ136" s="41"/>
      <c r="BA136" s="57"/>
      <c r="BB136" s="41"/>
      <c r="BC136" s="57"/>
      <c r="BD136" s="73">
        <v>4.654142289921568E-2</v>
      </c>
      <c r="BE136" s="74"/>
      <c r="BF136" s="73">
        <v>3.5325667007815031E-2</v>
      </c>
      <c r="BG136" s="74"/>
      <c r="BH136" s="73">
        <v>4.9895841769174935E-2</v>
      </c>
      <c r="BI136" s="74"/>
      <c r="BJ136" s="73">
        <v>4.8516102849097097E-2</v>
      </c>
      <c r="BK136" s="74"/>
      <c r="BL136" s="89">
        <v>3.313643803440209E-2</v>
      </c>
      <c r="BM136" s="90"/>
      <c r="BN136" s="89">
        <v>2.9424747379597747E-2</v>
      </c>
      <c r="BO136" s="90"/>
      <c r="BP136" s="105">
        <v>4.2758614579684967E-2</v>
      </c>
      <c r="BQ136" s="106"/>
      <c r="BR136" s="105">
        <v>2.506895448703883E-2</v>
      </c>
      <c r="BS136" s="106"/>
      <c r="BT136" s="121">
        <v>3.2221280225075845E-2</v>
      </c>
      <c r="BU136" s="122"/>
      <c r="BV136" s="121">
        <v>2.9744045048666522E-2</v>
      </c>
      <c r="BW136" s="122"/>
      <c r="BX136" s="41"/>
      <c r="BY136" s="57"/>
      <c r="BZ136" s="41"/>
      <c r="CA136" s="57"/>
      <c r="CB136" s="41"/>
      <c r="CC136" s="57"/>
      <c r="CD136" s="41"/>
      <c r="CE136" s="57"/>
      <c r="CF136" s="41"/>
      <c r="CG136" s="57"/>
      <c r="CH136" s="41"/>
      <c r="CI136" s="57"/>
      <c r="CJ136" s="41"/>
      <c r="CK136" s="57"/>
      <c r="CL136" s="157">
        <v>2.612833819316893E-2</v>
      </c>
      <c r="CM136" s="158"/>
      <c r="CN136" s="157">
        <v>5.5538882818930754E-2</v>
      </c>
      <c r="CO136" s="158"/>
      <c r="CP136" s="157">
        <v>5.9133906037309232E-2</v>
      </c>
      <c r="CQ136" s="158"/>
      <c r="CR136" s="174">
        <v>2.8293423856357622E-2</v>
      </c>
      <c r="CS136" s="175"/>
      <c r="CT136" s="174">
        <v>4.6337657134758119E-2</v>
      </c>
      <c r="CU136" s="175"/>
      <c r="CV136" s="174">
        <v>4.6733190527959649E-2</v>
      </c>
      <c r="CW136" s="175"/>
      <c r="CX136" s="41"/>
      <c r="CY136" s="57"/>
      <c r="CZ136" s="41"/>
      <c r="DA136" s="57"/>
      <c r="DB136" s="73">
        <v>3.7820694744813615E-2</v>
      </c>
      <c r="DC136" s="74"/>
      <c r="DD136" s="73">
        <v>3.0464270007540654E-2</v>
      </c>
      <c r="DE136" s="74"/>
      <c r="DF136" s="73">
        <v>5.2613053343583016E-2</v>
      </c>
      <c r="DG136" s="74"/>
    </row>
    <row r="137" spans="1:111" outlineLevel="1" x14ac:dyDescent="0.2">
      <c r="A137" s="30"/>
      <c r="B137" s="30"/>
      <c r="E137" s="66"/>
      <c r="G137" s="66"/>
      <c r="I137" s="82"/>
      <c r="K137" s="82"/>
      <c r="M137" s="130"/>
      <c r="O137" s="130"/>
      <c r="Q137" s="98"/>
      <c r="S137" s="98"/>
      <c r="U137" s="98"/>
      <c r="W137" s="114"/>
      <c r="Y137" s="114"/>
      <c r="AA137" s="114"/>
      <c r="AC137" s="150"/>
      <c r="AE137" s="150"/>
      <c r="AG137" s="150"/>
      <c r="AI137" s="150"/>
      <c r="AK137" s="167"/>
      <c r="AM137" s="167"/>
      <c r="AO137" s="54"/>
      <c r="AQ137" s="54"/>
      <c r="AS137" s="54"/>
      <c r="AU137" s="54"/>
      <c r="AW137" s="54"/>
      <c r="AY137" s="54"/>
      <c r="BA137" s="54"/>
      <c r="BC137" s="54"/>
      <c r="BE137" s="66"/>
      <c r="BG137" s="66"/>
      <c r="BI137" s="66"/>
      <c r="BK137" s="66"/>
      <c r="BM137" s="82"/>
      <c r="BO137" s="82"/>
      <c r="BQ137" s="98"/>
      <c r="BS137" s="98"/>
      <c r="BU137" s="114"/>
      <c r="BW137" s="114"/>
      <c r="BY137" s="54"/>
      <c r="CA137" s="54"/>
      <c r="CC137" s="54"/>
      <c r="CE137" s="54"/>
      <c r="CG137" s="54"/>
      <c r="CI137" s="54"/>
      <c r="CK137" s="54"/>
      <c r="CM137" s="150"/>
      <c r="CO137" s="150"/>
      <c r="CQ137" s="150"/>
      <c r="CS137" s="167"/>
      <c r="CU137" s="167"/>
      <c r="CW137" s="167"/>
      <c r="CY137" s="54"/>
      <c r="DA137" s="54"/>
      <c r="DC137" s="66"/>
      <c r="DE137" s="66"/>
      <c r="DG137" s="66"/>
    </row>
    <row r="138" spans="1:111" x14ac:dyDescent="0.2">
      <c r="A138" s="30"/>
      <c r="B138" s="30"/>
      <c r="E138" s="66"/>
      <c r="G138" s="66"/>
      <c r="I138" s="82"/>
      <c r="K138" s="82"/>
      <c r="M138" s="130"/>
      <c r="O138" s="130"/>
      <c r="Q138" s="98"/>
      <c r="S138" s="98"/>
      <c r="U138" s="98"/>
      <c r="W138" s="114"/>
      <c r="Y138" s="114"/>
      <c r="AA138" s="114"/>
      <c r="AC138" s="150"/>
      <c r="AE138" s="150"/>
      <c r="AG138" s="150"/>
      <c r="AI138" s="150"/>
      <c r="AK138" s="167"/>
      <c r="AM138" s="167"/>
      <c r="AO138" s="54"/>
      <c r="AQ138" s="54"/>
      <c r="AS138" s="54"/>
      <c r="AU138" s="54"/>
      <c r="AW138" s="54"/>
      <c r="AY138" s="54"/>
      <c r="BA138" s="54"/>
      <c r="BC138" s="54"/>
      <c r="BE138" s="66"/>
      <c r="BG138" s="66"/>
      <c r="BI138" s="66"/>
      <c r="BK138" s="66"/>
      <c r="BM138" s="82"/>
      <c r="BO138" s="82"/>
      <c r="BQ138" s="98"/>
      <c r="BS138" s="98"/>
      <c r="BU138" s="114"/>
      <c r="BW138" s="114"/>
      <c r="BY138" s="54"/>
      <c r="CA138" s="54"/>
      <c r="CC138" s="54"/>
      <c r="CE138" s="54"/>
      <c r="CG138" s="54"/>
      <c r="CI138" s="54"/>
      <c r="CK138" s="54"/>
      <c r="CM138" s="150"/>
      <c r="CO138" s="150"/>
      <c r="CQ138" s="150"/>
      <c r="CS138" s="167"/>
      <c r="CU138" s="167"/>
      <c r="CW138" s="167"/>
      <c r="CY138" s="54"/>
      <c r="DA138" s="54"/>
      <c r="DC138" s="66"/>
      <c r="DE138" s="66"/>
      <c r="DG138" s="66"/>
    </row>
    <row r="139" spans="1:111" x14ac:dyDescent="0.2">
      <c r="A139" s="28" t="s">
        <v>268</v>
      </c>
      <c r="B139" s="29" t="s">
        <v>138</v>
      </c>
      <c r="E139" s="66"/>
      <c r="G139" s="66"/>
      <c r="I139" s="82"/>
      <c r="K139" s="82"/>
      <c r="M139" s="130"/>
      <c r="O139" s="130"/>
      <c r="Q139" s="98"/>
      <c r="S139" s="98"/>
      <c r="U139" s="98"/>
      <c r="W139" s="114"/>
      <c r="Y139" s="114"/>
      <c r="AA139" s="114"/>
      <c r="AC139" s="150"/>
      <c r="AE139" s="150"/>
      <c r="AG139" s="150"/>
      <c r="AI139" s="150"/>
      <c r="AK139" s="167"/>
      <c r="AM139" s="167"/>
      <c r="AO139" s="54"/>
      <c r="AQ139" s="54"/>
      <c r="AS139" s="54"/>
      <c r="AU139" s="54"/>
      <c r="AW139" s="54"/>
      <c r="AY139" s="54"/>
      <c r="BA139" s="54"/>
      <c r="BC139" s="54"/>
      <c r="BE139" s="66"/>
      <c r="BG139" s="66"/>
      <c r="BI139" s="66"/>
      <c r="BK139" s="66"/>
      <c r="BM139" s="82"/>
      <c r="BO139" s="82"/>
      <c r="BQ139" s="98"/>
      <c r="BS139" s="98"/>
      <c r="BU139" s="114"/>
      <c r="BW139" s="114"/>
      <c r="BY139" s="54"/>
      <c r="CA139" s="54"/>
      <c r="CC139" s="54"/>
      <c r="CE139" s="54"/>
      <c r="CG139" s="54"/>
      <c r="CI139" s="54"/>
      <c r="CK139" s="54"/>
      <c r="CM139" s="150"/>
      <c r="CO139" s="150"/>
      <c r="CQ139" s="150"/>
      <c r="CS139" s="167"/>
      <c r="CU139" s="167"/>
      <c r="CW139" s="167"/>
      <c r="CY139" s="54"/>
      <c r="DA139" s="54"/>
      <c r="DC139" s="66"/>
      <c r="DE139" s="66"/>
      <c r="DG139" s="66"/>
    </row>
    <row r="140" spans="1:111" outlineLevel="1" x14ac:dyDescent="0.2">
      <c r="A140" s="30"/>
      <c r="B140" s="32" t="s">
        <v>139</v>
      </c>
      <c r="C140" s="31">
        <f>202.106211330446+8.8937886695544</f>
        <v>211.0000000000004</v>
      </c>
      <c r="D140" s="67">
        <f>57.9382351851852+2.06176481481482</f>
        <v>60.000000000000021</v>
      </c>
      <c r="E140" s="68"/>
      <c r="F140" s="67">
        <f>144.170530089828+6.82946991017238</f>
        <v>151.00000000000037</v>
      </c>
      <c r="G140" s="68"/>
      <c r="H140" s="83">
        <f>58.9349469901628+2.06505300983719</f>
        <v>60.999999999999993</v>
      </c>
      <c r="I140" s="84"/>
      <c r="J140" s="83">
        <f>143.174797264027+6.82520273597291</f>
        <v>149.99999999999991</v>
      </c>
      <c r="K140" s="84"/>
      <c r="L140" s="131"/>
      <c r="M140" s="132"/>
      <c r="N140" s="131"/>
      <c r="O140" s="132"/>
      <c r="P140" s="99">
        <f>25.8897398516391+1.11026014836089</f>
        <v>26.999999999999989</v>
      </c>
      <c r="Q140" s="100"/>
      <c r="R140" s="99">
        <f>34.3321479437629+2.66785205623711</f>
        <v>37.000000000000007</v>
      </c>
      <c r="S140" s="100"/>
      <c r="T140" s="99">
        <f>62.1481298004178+1.85187019958217</f>
        <v>63.999999999999972</v>
      </c>
      <c r="U140" s="100"/>
      <c r="V140" s="115">
        <f>25.8897398516391+1.11026014836089</f>
        <v>26.999999999999989</v>
      </c>
      <c r="W140" s="116"/>
      <c r="X140" s="115">
        <f>33.3439501199674+2.65604988003255</f>
        <v>35.99999999999995</v>
      </c>
      <c r="Y140" s="116"/>
      <c r="Z140" s="115">
        <f>62.1481298004178+1.85187019958217</f>
        <v>63.999999999999972</v>
      </c>
      <c r="AA140" s="116"/>
      <c r="AB140" s="151">
        <f>63.0711998560524+1.92880014394765</f>
        <v>65.000000000000057</v>
      </c>
      <c r="AC140" s="152"/>
      <c r="AD140" s="151">
        <f>82.4082509529922+3.59174904700777</f>
        <v>85.999999999999972</v>
      </c>
      <c r="AE140" s="152"/>
      <c r="AF140" s="151">
        <f>32.6448524536242+1.35514754637583</f>
        <v>34.000000000000036</v>
      </c>
      <c r="AG140" s="152"/>
      <c r="AH140" s="151">
        <f>25.2105290504488+0.789470949551191</f>
        <v>25.999999999999993</v>
      </c>
      <c r="AI140" s="152"/>
      <c r="AJ140" s="168">
        <f>85.3196265817301+3.68037341826987</f>
        <v>88.999999999999972</v>
      </c>
      <c r="AK140" s="169"/>
      <c r="AL140" s="168">
        <f>117.12086052581+4.87913947418987</f>
        <v>121.99999999999987</v>
      </c>
      <c r="AM140" s="169"/>
      <c r="AN140" s="31"/>
      <c r="AO140" s="55"/>
      <c r="AP140" s="31"/>
      <c r="AQ140" s="55"/>
      <c r="AR140" s="31"/>
      <c r="AS140" s="55"/>
      <c r="AT140" s="31"/>
      <c r="AU140" s="55"/>
      <c r="AV140" s="31"/>
      <c r="AW140" s="55"/>
      <c r="AX140" s="31"/>
      <c r="AY140" s="55"/>
      <c r="AZ140" s="31"/>
      <c r="BA140" s="55"/>
      <c r="BB140" s="31"/>
      <c r="BC140" s="55"/>
      <c r="BD140" s="67">
        <f>34.9193557724093+1.08064422759069</f>
        <v>35.999999999999986</v>
      </c>
      <c r="BE140" s="68"/>
      <c r="BF140" s="67">
        <f>92.1419306012919+1.85806939870812</f>
        <v>94.000000000000028</v>
      </c>
      <c r="BG140" s="68"/>
      <c r="BH140" s="67">
        <f>45.3307847763715+1.66921522362851</f>
        <v>47.000000000000014</v>
      </c>
      <c r="BI140" s="68"/>
      <c r="BJ140" s="67">
        <f>32.5560173047777+1.4439826952223</f>
        <v>34</v>
      </c>
      <c r="BK140" s="68"/>
      <c r="BL140" s="83">
        <f>121.23128922727+4.76871077273032</f>
        <v>126.00000000000031</v>
      </c>
      <c r="BM140" s="84"/>
      <c r="BN140" s="83">
        <f>69.6007937991308+3.39920620086916</f>
        <v>72.999999999999957</v>
      </c>
      <c r="BO140" s="84"/>
      <c r="BP140" s="99">
        <f>100.575258604546+3.4247413954544</f>
        <v>104.0000000000004</v>
      </c>
      <c r="BQ140" s="100"/>
      <c r="BR140" s="99">
        <f>98.8487494854572+5.15125051454284</f>
        <v>104.00000000000004</v>
      </c>
      <c r="BS140" s="100"/>
      <c r="BT140" s="115">
        <f>71.0617346094843+2.93826539051572</f>
        <v>74.000000000000028</v>
      </c>
      <c r="BU140" s="116"/>
      <c r="BV140" s="115">
        <f>128.325792090332+5.67420790966835</f>
        <v>134.00000000000034</v>
      </c>
      <c r="BW140" s="116"/>
      <c r="BX140" s="31"/>
      <c r="BY140" s="55"/>
      <c r="BZ140" s="31"/>
      <c r="CA140" s="55"/>
      <c r="CB140" s="31"/>
      <c r="CC140" s="55"/>
      <c r="CD140" s="31"/>
      <c r="CE140" s="55"/>
      <c r="CF140" s="31"/>
      <c r="CG140" s="55"/>
      <c r="CH140" s="31"/>
      <c r="CI140" s="55"/>
      <c r="CJ140" s="31"/>
      <c r="CK140" s="55"/>
      <c r="CL140" s="151">
        <f>139.606543333001+5.39345666699887</f>
        <v>144.99999999999989</v>
      </c>
      <c r="CM140" s="152"/>
      <c r="CN140" s="151">
        <f>44.0923438776411+2.90765612235894</f>
        <v>47.000000000000043</v>
      </c>
      <c r="CO140" s="152"/>
      <c r="CP140" s="151">
        <f>26.3001331307411+0.699866869258926</f>
        <v>27.000000000000025</v>
      </c>
      <c r="CQ140" s="152"/>
      <c r="CR140" s="168">
        <f>45.2767736656201+1.7232263343799</f>
        <v>47</v>
      </c>
      <c r="CS140" s="169"/>
      <c r="CT140" s="168">
        <f>77.6137846665214+2.38621533347865</f>
        <v>80.000000000000043</v>
      </c>
      <c r="CU140" s="169"/>
      <c r="CV140" s="168">
        <f>50.7109224938905+3.28907750610949</f>
        <v>53.999999999999993</v>
      </c>
      <c r="CW140" s="169"/>
      <c r="CX140" s="31"/>
      <c r="CY140" s="55"/>
      <c r="CZ140" s="31"/>
      <c r="DA140" s="55"/>
      <c r="DB140" s="67">
        <f>51.9879174790983+2.0120825209017</f>
        <v>54</v>
      </c>
      <c r="DC140" s="68"/>
      <c r="DD140" s="67">
        <f>86.0964566538767+4.90354334612329</f>
        <v>90.999999999999986</v>
      </c>
      <c r="DE140" s="68"/>
      <c r="DF140" s="67">
        <f>64.3159728728368+1.68402712716323</f>
        <v>66.000000000000028</v>
      </c>
      <c r="DG140" s="68"/>
    </row>
    <row r="141" spans="1:111" s="35" customFormat="1" outlineLevel="1" x14ac:dyDescent="0.2">
      <c r="A141" s="30"/>
      <c r="B141" s="33"/>
      <c r="C141" s="34" t="s">
        <v>167</v>
      </c>
      <c r="D141" s="69" t="s">
        <v>167</v>
      </c>
      <c r="E141" s="70"/>
      <c r="F141" s="69" t="s">
        <v>167</v>
      </c>
      <c r="G141" s="70"/>
      <c r="H141" s="85" t="s">
        <v>167</v>
      </c>
      <c r="I141" s="86"/>
      <c r="J141" s="85" t="s">
        <v>167</v>
      </c>
      <c r="K141" s="86"/>
      <c r="L141" s="133"/>
      <c r="M141" s="134"/>
      <c r="N141" s="133"/>
      <c r="O141" s="134"/>
      <c r="P141" s="101" t="s">
        <v>167</v>
      </c>
      <c r="Q141" s="102"/>
      <c r="R141" s="101" t="s">
        <v>167</v>
      </c>
      <c r="S141" s="102"/>
      <c r="T141" s="101" t="s">
        <v>167</v>
      </c>
      <c r="U141" s="102"/>
      <c r="V141" s="117" t="s">
        <v>167</v>
      </c>
      <c r="W141" s="118"/>
      <c r="X141" s="117" t="s">
        <v>167</v>
      </c>
      <c r="Y141" s="118"/>
      <c r="Z141" s="117" t="s">
        <v>167</v>
      </c>
      <c r="AA141" s="118"/>
      <c r="AB141" s="153" t="s">
        <v>167</v>
      </c>
      <c r="AC141" s="154"/>
      <c r="AD141" s="153" t="s">
        <v>167</v>
      </c>
      <c r="AE141" s="154"/>
      <c r="AF141" s="153" t="s">
        <v>167</v>
      </c>
      <c r="AG141" s="154"/>
      <c r="AH141" s="153" t="s">
        <v>167</v>
      </c>
      <c r="AI141" s="154"/>
      <c r="AJ141" s="170" t="s">
        <v>167</v>
      </c>
      <c r="AK141" s="171"/>
      <c r="AL141" s="170" t="s">
        <v>167</v>
      </c>
      <c r="AM141" s="171"/>
      <c r="AN141" s="34"/>
      <c r="AO141" s="56"/>
      <c r="AP141" s="34"/>
      <c r="AQ141" s="56"/>
      <c r="AR141" s="34"/>
      <c r="AS141" s="56"/>
      <c r="AT141" s="34"/>
      <c r="AU141" s="56"/>
      <c r="AV141" s="34"/>
      <c r="AW141" s="56"/>
      <c r="AX141" s="34"/>
      <c r="AY141" s="56"/>
      <c r="AZ141" s="34"/>
      <c r="BA141" s="56"/>
      <c r="BB141" s="34"/>
      <c r="BC141" s="56"/>
      <c r="BD141" s="69" t="s">
        <v>167</v>
      </c>
      <c r="BE141" s="70"/>
      <c r="BF141" s="69" t="s">
        <v>167</v>
      </c>
      <c r="BG141" s="70"/>
      <c r="BH141" s="69" t="s">
        <v>167</v>
      </c>
      <c r="BI141" s="70"/>
      <c r="BJ141" s="69" t="s">
        <v>167</v>
      </c>
      <c r="BK141" s="70"/>
      <c r="BL141" s="85" t="s">
        <v>167</v>
      </c>
      <c r="BM141" s="86"/>
      <c r="BN141" s="85" t="s">
        <v>167</v>
      </c>
      <c r="BO141" s="86"/>
      <c r="BP141" s="101" t="s">
        <v>167</v>
      </c>
      <c r="BQ141" s="102"/>
      <c r="BR141" s="101" t="s">
        <v>167</v>
      </c>
      <c r="BS141" s="102"/>
      <c r="BT141" s="117" t="s">
        <v>167</v>
      </c>
      <c r="BU141" s="118"/>
      <c r="BV141" s="117" t="s">
        <v>167</v>
      </c>
      <c r="BW141" s="118"/>
      <c r="BX141" s="34"/>
      <c r="BY141" s="56"/>
      <c r="BZ141" s="34"/>
      <c r="CA141" s="56"/>
      <c r="CB141" s="34"/>
      <c r="CC141" s="56"/>
      <c r="CD141" s="34"/>
      <c r="CE141" s="56"/>
      <c r="CF141" s="34"/>
      <c r="CG141" s="56"/>
      <c r="CH141" s="34"/>
      <c r="CI141" s="56"/>
      <c r="CJ141" s="34"/>
      <c r="CK141" s="56"/>
      <c r="CL141" s="153" t="s">
        <v>167</v>
      </c>
      <c r="CM141" s="154"/>
      <c r="CN141" s="153" t="s">
        <v>167</v>
      </c>
      <c r="CO141" s="154"/>
      <c r="CP141" s="153" t="s">
        <v>167</v>
      </c>
      <c r="CQ141" s="154"/>
      <c r="CR141" s="170" t="s">
        <v>167</v>
      </c>
      <c r="CS141" s="171"/>
      <c r="CT141" s="170" t="s">
        <v>167</v>
      </c>
      <c r="CU141" s="171"/>
      <c r="CV141" s="170" t="s">
        <v>167</v>
      </c>
      <c r="CW141" s="171"/>
      <c r="CX141" s="34"/>
      <c r="CY141" s="56"/>
      <c r="CZ141" s="34"/>
      <c r="DA141" s="56"/>
      <c r="DB141" s="69" t="s">
        <v>167</v>
      </c>
      <c r="DC141" s="70"/>
      <c r="DD141" s="69" t="s">
        <v>167</v>
      </c>
      <c r="DE141" s="70"/>
      <c r="DF141" s="69" t="s">
        <v>167</v>
      </c>
      <c r="DG141" s="70"/>
    </row>
    <row r="142" spans="1:111" outlineLevel="1" x14ac:dyDescent="0.2">
      <c r="A142" s="30"/>
      <c r="B142" s="30"/>
      <c r="E142" s="66"/>
      <c r="G142" s="66"/>
      <c r="I142" s="82"/>
      <c r="K142" s="82"/>
      <c r="M142" s="130"/>
      <c r="O142" s="130"/>
      <c r="Q142" s="98"/>
      <c r="S142" s="98"/>
      <c r="U142" s="98"/>
      <c r="W142" s="114"/>
      <c r="Y142" s="114"/>
      <c r="AA142" s="114"/>
      <c r="AC142" s="150"/>
      <c r="AE142" s="150"/>
      <c r="AG142" s="150"/>
      <c r="AI142" s="150"/>
      <c r="AK142" s="167"/>
      <c r="AM142" s="167"/>
      <c r="AO142" s="54"/>
      <c r="AQ142" s="54"/>
      <c r="AS142" s="54"/>
      <c r="AU142" s="54"/>
      <c r="AW142" s="54"/>
      <c r="AY142" s="54"/>
      <c r="BA142" s="54"/>
      <c r="BC142" s="54"/>
      <c r="BE142" s="66"/>
      <c r="BG142" s="66"/>
      <c r="BI142" s="66"/>
      <c r="BK142" s="66"/>
      <c r="BM142" s="82"/>
      <c r="BO142" s="82"/>
      <c r="BQ142" s="98"/>
      <c r="BS142" s="98"/>
      <c r="BU142" s="114"/>
      <c r="BW142" s="114"/>
      <c r="BY142" s="54"/>
      <c r="CA142" s="54"/>
      <c r="CC142" s="54"/>
      <c r="CE142" s="54"/>
      <c r="CG142" s="54"/>
      <c r="CI142" s="54"/>
      <c r="CK142" s="54"/>
      <c r="CM142" s="150"/>
      <c r="CO142" s="150"/>
      <c r="CQ142" s="150"/>
      <c r="CS142" s="167"/>
      <c r="CU142" s="167"/>
      <c r="CW142" s="167"/>
      <c r="CY142" s="54"/>
      <c r="DA142" s="54"/>
      <c r="DC142" s="66"/>
      <c r="DE142" s="66"/>
      <c r="DG142" s="66"/>
    </row>
    <row r="143" spans="1:111" outlineLevel="1" x14ac:dyDescent="0.2">
      <c r="A143" s="30"/>
      <c r="B143" s="32" t="s">
        <v>106</v>
      </c>
      <c r="C143" s="38">
        <v>16.181875880454292</v>
      </c>
      <c r="D143" s="72">
        <v>20.151600137911871</v>
      </c>
      <c r="E143" s="68"/>
      <c r="F143" s="72">
        <v>14.599063830252891</v>
      </c>
      <c r="G143" s="68"/>
      <c r="H143" s="88">
        <v>19.829019435747259</v>
      </c>
      <c r="I143" s="84"/>
      <c r="J143" s="88">
        <v>14.694377975608614</v>
      </c>
      <c r="K143" s="84"/>
      <c r="L143" s="136"/>
      <c r="M143" s="132"/>
      <c r="N143" s="136"/>
      <c r="O143" s="132"/>
      <c r="P143" s="104">
        <v>18.113203352526622</v>
      </c>
      <c r="Q143" s="100"/>
      <c r="R143" s="104">
        <v>15.84656302267555</v>
      </c>
      <c r="S143" s="100"/>
      <c r="T143" s="104">
        <v>11.849148820236778</v>
      </c>
      <c r="U143" s="100"/>
      <c r="V143" s="120">
        <v>18.113203352526622</v>
      </c>
      <c r="W143" s="116"/>
      <c r="X143" s="120">
        <v>16.269642424822507</v>
      </c>
      <c r="Y143" s="116"/>
      <c r="Z143" s="120">
        <v>11.849148820236778</v>
      </c>
      <c r="AA143" s="116"/>
      <c r="AB143" s="156">
        <v>16.744844185413374</v>
      </c>
      <c r="AC143" s="152"/>
      <c r="AD143" s="156">
        <v>15.095624091429535</v>
      </c>
      <c r="AE143" s="152"/>
      <c r="AF143" s="156">
        <v>21.826373686266315</v>
      </c>
      <c r="AG143" s="152"/>
      <c r="AH143" s="156">
        <v>11.08886233993505</v>
      </c>
      <c r="AI143" s="152"/>
      <c r="AJ143" s="173">
        <v>19.162406754434148</v>
      </c>
      <c r="AK143" s="169"/>
      <c r="AL143" s="173">
        <v>13.825378660855236</v>
      </c>
      <c r="AM143" s="169"/>
      <c r="AN143" s="38"/>
      <c r="AO143" s="55"/>
      <c r="AP143" s="38"/>
      <c r="AQ143" s="55"/>
      <c r="AR143" s="38"/>
      <c r="AS143" s="55"/>
      <c r="AT143" s="38"/>
      <c r="AU143" s="55"/>
      <c r="AV143" s="38"/>
      <c r="AW143" s="55"/>
      <c r="AX143" s="38"/>
      <c r="AY143" s="55"/>
      <c r="AZ143" s="38"/>
      <c r="BA143" s="55"/>
      <c r="BB143" s="38"/>
      <c r="BC143" s="55"/>
      <c r="BD143" s="72">
        <v>16.574790476299967</v>
      </c>
      <c r="BE143" s="68"/>
      <c r="BF143" s="72">
        <v>17.183986270564564</v>
      </c>
      <c r="BG143" s="68"/>
      <c r="BH143" s="72">
        <v>13.265156266124743</v>
      </c>
      <c r="BI143" s="68"/>
      <c r="BJ143" s="72">
        <v>17.542891082684221</v>
      </c>
      <c r="BK143" s="68"/>
      <c r="BL143" s="88">
        <v>16.93618314828473</v>
      </c>
      <c r="BM143" s="84"/>
      <c r="BN143" s="88">
        <v>13.375005025278886</v>
      </c>
      <c r="BO143" s="84"/>
      <c r="BP143" s="104">
        <v>13.966350627467746</v>
      </c>
      <c r="BQ143" s="100"/>
      <c r="BR143" s="104">
        <v>16.649753154141525</v>
      </c>
      <c r="BS143" s="100"/>
      <c r="BT143" s="120">
        <v>12.60295882729439</v>
      </c>
      <c r="BU143" s="116"/>
      <c r="BV143" s="120">
        <v>16.922311608809494</v>
      </c>
      <c r="BW143" s="116"/>
      <c r="BX143" s="38"/>
      <c r="BY143" s="55"/>
      <c r="BZ143" s="38"/>
      <c r="CA143" s="55"/>
      <c r="CB143" s="38"/>
      <c r="CC143" s="55"/>
      <c r="CD143" s="38"/>
      <c r="CE143" s="55"/>
      <c r="CF143" s="38"/>
      <c r="CG143" s="55"/>
      <c r="CH143" s="38"/>
      <c r="CI143" s="55"/>
      <c r="CJ143" s="38"/>
      <c r="CK143" s="55"/>
      <c r="CL143" s="156">
        <v>14.368650010425624</v>
      </c>
      <c r="CM143" s="152"/>
      <c r="CN143" s="156">
        <v>20.061729076958088</v>
      </c>
      <c r="CO143" s="152"/>
      <c r="CP143" s="156">
        <v>21.385782888827592</v>
      </c>
      <c r="CQ143" s="152"/>
      <c r="CR143" s="173">
        <v>18.837481549345956</v>
      </c>
      <c r="CS143" s="169"/>
      <c r="CT143" s="173">
        <v>14.121700707948058</v>
      </c>
      <c r="CU143" s="169"/>
      <c r="CV143" s="173">
        <v>17.747141609671896</v>
      </c>
      <c r="CW143" s="169"/>
      <c r="CX143" s="38"/>
      <c r="CY143" s="55"/>
      <c r="CZ143" s="38"/>
      <c r="DA143" s="55"/>
      <c r="DB143" s="72">
        <v>28.115014759860021</v>
      </c>
      <c r="DC143" s="68" t="s">
        <v>208</v>
      </c>
      <c r="DD143" s="72">
        <v>15.302141442427413</v>
      </c>
      <c r="DE143" s="68"/>
      <c r="DF143" s="72">
        <v>7.2835667830669966</v>
      </c>
      <c r="DG143" s="68"/>
    </row>
    <row r="144" spans="1:111" outlineLevel="1" x14ac:dyDescent="0.2">
      <c r="A144" s="30"/>
      <c r="B144" s="32" t="s">
        <v>140</v>
      </c>
      <c r="C144" s="38">
        <v>24.958180713106245</v>
      </c>
      <c r="D144" s="72">
        <v>27.389743405016628</v>
      </c>
      <c r="E144" s="68"/>
      <c r="F144" s="72">
        <v>23.988665835002134</v>
      </c>
      <c r="G144" s="68"/>
      <c r="H144" s="88">
        <v>28.5520663667896</v>
      </c>
      <c r="I144" s="84"/>
      <c r="J144" s="88">
        <v>23.492404195384417</v>
      </c>
      <c r="K144" s="84"/>
      <c r="L144" s="136"/>
      <c r="M144" s="132"/>
      <c r="N144" s="136"/>
      <c r="O144" s="132"/>
      <c r="P144" s="104">
        <v>20.344515832610806</v>
      </c>
      <c r="Q144" s="100"/>
      <c r="R144" s="104">
        <v>19.41953881165858</v>
      </c>
      <c r="S144" s="100"/>
      <c r="T144" s="104">
        <v>29.060317355481068</v>
      </c>
      <c r="U144" s="100"/>
      <c r="V144" s="120">
        <v>20.344515832610806</v>
      </c>
      <c r="W144" s="116"/>
      <c r="X144" s="120">
        <v>17.268161677354698</v>
      </c>
      <c r="Y144" s="116"/>
      <c r="Z144" s="120">
        <v>29.060317355481068</v>
      </c>
      <c r="AA144" s="116"/>
      <c r="AB144" s="156">
        <v>29.86965018667231</v>
      </c>
      <c r="AC144" s="152"/>
      <c r="AD144" s="156">
        <v>18.10733042146564</v>
      </c>
      <c r="AE144" s="152"/>
      <c r="AF144" s="156">
        <v>27.489470449129627</v>
      </c>
      <c r="AG144" s="152"/>
      <c r="AH144" s="156">
        <v>35.477208097056995</v>
      </c>
      <c r="AI144" s="152"/>
      <c r="AJ144" s="173">
        <v>21.041936141183974</v>
      </c>
      <c r="AK144" s="169"/>
      <c r="AL144" s="173">
        <v>28.054481283441188</v>
      </c>
      <c r="AM144" s="169"/>
      <c r="AN144" s="38"/>
      <c r="AO144" s="55"/>
      <c r="AP144" s="38"/>
      <c r="AQ144" s="55"/>
      <c r="AR144" s="38"/>
      <c r="AS144" s="55"/>
      <c r="AT144" s="38"/>
      <c r="AU144" s="55"/>
      <c r="AV144" s="38"/>
      <c r="AW144" s="55"/>
      <c r="AX144" s="38"/>
      <c r="AY144" s="55"/>
      <c r="AZ144" s="38"/>
      <c r="BA144" s="55"/>
      <c r="BB144" s="38"/>
      <c r="BC144" s="55"/>
      <c r="BD144" s="72">
        <v>22.747260959037973</v>
      </c>
      <c r="BE144" s="68"/>
      <c r="BF144" s="72">
        <v>24.570461987611946</v>
      </c>
      <c r="BG144" s="68"/>
      <c r="BH144" s="72">
        <v>24.335164442609805</v>
      </c>
      <c r="BI144" s="68"/>
      <c r="BJ144" s="72">
        <v>28.615161608523533</v>
      </c>
      <c r="BK144" s="68"/>
      <c r="BL144" s="88">
        <v>25.788449910631822</v>
      </c>
      <c r="BM144" s="84"/>
      <c r="BN144" s="88">
        <v>26.53069994856887</v>
      </c>
      <c r="BO144" s="84"/>
      <c r="BP144" s="104">
        <v>32.324623393607119</v>
      </c>
      <c r="BQ144" s="100" t="s">
        <v>198</v>
      </c>
      <c r="BR144" s="104">
        <v>18.522353263850796</v>
      </c>
      <c r="BS144" s="100"/>
      <c r="BT144" s="120">
        <v>27.285053362002358</v>
      </c>
      <c r="BU144" s="116"/>
      <c r="BV144" s="120">
        <v>23.483843328581102</v>
      </c>
      <c r="BW144" s="116"/>
      <c r="BX144" s="38"/>
      <c r="BY144" s="55"/>
      <c r="BZ144" s="38"/>
      <c r="CA144" s="55"/>
      <c r="CB144" s="38"/>
      <c r="CC144" s="55"/>
      <c r="CD144" s="38"/>
      <c r="CE144" s="55"/>
      <c r="CF144" s="38"/>
      <c r="CG144" s="55"/>
      <c r="CH144" s="38"/>
      <c r="CI144" s="55"/>
      <c r="CJ144" s="38"/>
      <c r="CK144" s="55"/>
      <c r="CL144" s="156">
        <v>26.008000594117664</v>
      </c>
      <c r="CM144" s="152"/>
      <c r="CN144" s="156">
        <v>28.079881048908256</v>
      </c>
      <c r="CO144" s="152"/>
      <c r="CP144" s="156">
        <v>11.105217372854383</v>
      </c>
      <c r="CQ144" s="152"/>
      <c r="CR144" s="173">
        <v>20.213286241289186</v>
      </c>
      <c r="CS144" s="169"/>
      <c r="CT144" s="173">
        <v>29.970942135746441</v>
      </c>
      <c r="CU144" s="169"/>
      <c r="CV144" s="173">
        <v>17.536713652973706</v>
      </c>
      <c r="CW144" s="169"/>
      <c r="CX144" s="38"/>
      <c r="CY144" s="55"/>
      <c r="CZ144" s="38"/>
      <c r="DA144" s="55"/>
      <c r="DB144" s="72">
        <v>13.290716969942347</v>
      </c>
      <c r="DC144" s="68"/>
      <c r="DD144" s="72">
        <v>31.009929593378502</v>
      </c>
      <c r="DE144" s="68" t="s">
        <v>206</v>
      </c>
      <c r="DF144" s="72">
        <v>26.053282359508263</v>
      </c>
      <c r="DG144" s="68"/>
    </row>
    <row r="145" spans="1:111" outlineLevel="1" x14ac:dyDescent="0.2">
      <c r="A145" s="30"/>
      <c r="B145" s="32" t="s">
        <v>141</v>
      </c>
      <c r="C145" s="38">
        <v>20.888764364148805</v>
      </c>
      <c r="D145" s="72">
        <v>21.404471157722121</v>
      </c>
      <c r="E145" s="68"/>
      <c r="F145" s="72">
        <v>20.683141284483984</v>
      </c>
      <c r="G145" s="68"/>
      <c r="H145" s="88">
        <v>21.061834876321811</v>
      </c>
      <c r="I145" s="84"/>
      <c r="J145" s="88">
        <v>20.818177061964253</v>
      </c>
      <c r="K145" s="84"/>
      <c r="L145" s="136"/>
      <c r="M145" s="132"/>
      <c r="N145" s="136"/>
      <c r="O145" s="132"/>
      <c r="P145" s="104">
        <v>21.943339039446283</v>
      </c>
      <c r="Q145" s="100"/>
      <c r="R145" s="104">
        <v>20.185901126922762</v>
      </c>
      <c r="S145" s="100"/>
      <c r="T145" s="104">
        <v>24.453544243184783</v>
      </c>
      <c r="U145" s="100"/>
      <c r="V145" s="120">
        <v>21.943339039446283</v>
      </c>
      <c r="W145" s="116"/>
      <c r="X145" s="120">
        <v>20.724834330820379</v>
      </c>
      <c r="Y145" s="116"/>
      <c r="Z145" s="120">
        <v>24.453544243184783</v>
      </c>
      <c r="AA145" s="116"/>
      <c r="AB145" s="156">
        <v>21.493586553351172</v>
      </c>
      <c r="AC145" s="152"/>
      <c r="AD145" s="156">
        <v>21.263519584031592</v>
      </c>
      <c r="AE145" s="152"/>
      <c r="AF145" s="156">
        <v>21.672253157351307</v>
      </c>
      <c r="AG145" s="152"/>
      <c r="AH145" s="156">
        <v>16.913459758703663</v>
      </c>
      <c r="AI145" s="152"/>
      <c r="AJ145" s="173">
        <v>23.533652568350551</v>
      </c>
      <c r="AK145" s="169"/>
      <c r="AL145" s="173">
        <v>18.797636319221237</v>
      </c>
      <c r="AM145" s="169"/>
      <c r="AN145" s="38"/>
      <c r="AO145" s="55"/>
      <c r="AP145" s="38"/>
      <c r="AQ145" s="55"/>
      <c r="AR145" s="38"/>
      <c r="AS145" s="55"/>
      <c r="AT145" s="38"/>
      <c r="AU145" s="55"/>
      <c r="AV145" s="38"/>
      <c r="AW145" s="55"/>
      <c r="AX145" s="38"/>
      <c r="AY145" s="55"/>
      <c r="AZ145" s="38"/>
      <c r="BA145" s="55"/>
      <c r="BB145" s="38"/>
      <c r="BC145" s="55"/>
      <c r="BD145" s="72">
        <v>16.720796017612635</v>
      </c>
      <c r="BE145" s="68"/>
      <c r="BF145" s="72">
        <v>25.789294591075866</v>
      </c>
      <c r="BG145" s="68" t="s">
        <v>194</v>
      </c>
      <c r="BH145" s="72">
        <v>24.962292908685331</v>
      </c>
      <c r="BI145" s="68"/>
      <c r="BJ145" s="72">
        <v>8.9123444159826679</v>
      </c>
      <c r="BK145" s="68"/>
      <c r="BL145" s="88">
        <v>23.251589690433949</v>
      </c>
      <c r="BM145" s="84"/>
      <c r="BN145" s="88">
        <v>16.322937590888234</v>
      </c>
      <c r="BO145" s="84"/>
      <c r="BP145" s="104">
        <v>19.709881045192766</v>
      </c>
      <c r="BQ145" s="100"/>
      <c r="BR145" s="104">
        <v>22.653690933312436</v>
      </c>
      <c r="BS145" s="100"/>
      <c r="BT145" s="120">
        <v>16.477471857582248</v>
      </c>
      <c r="BU145" s="116"/>
      <c r="BV145" s="120">
        <v>23.964741947557023</v>
      </c>
      <c r="BW145" s="116"/>
      <c r="BX145" s="38"/>
      <c r="BY145" s="55"/>
      <c r="BZ145" s="38"/>
      <c r="CA145" s="55"/>
      <c r="CB145" s="38"/>
      <c r="CC145" s="55"/>
      <c r="CD145" s="38"/>
      <c r="CE145" s="55"/>
      <c r="CF145" s="38"/>
      <c r="CG145" s="55"/>
      <c r="CH145" s="38"/>
      <c r="CI145" s="55"/>
      <c r="CJ145" s="38"/>
      <c r="CK145" s="55"/>
      <c r="CL145" s="156">
        <v>17.258689684917695</v>
      </c>
      <c r="CM145" s="152"/>
      <c r="CN145" s="156">
        <v>33.233618265090378</v>
      </c>
      <c r="CO145" s="152" t="s">
        <v>201</v>
      </c>
      <c r="CP145" s="156">
        <v>32.199260217974015</v>
      </c>
      <c r="CQ145" s="152"/>
      <c r="CR145" s="173">
        <v>23.629008522155168</v>
      </c>
      <c r="CS145" s="169"/>
      <c r="CT145" s="173">
        <v>22.815755761212031</v>
      </c>
      <c r="CU145" s="169"/>
      <c r="CV145" s="173">
        <v>21.84779847861514</v>
      </c>
      <c r="CW145" s="169"/>
      <c r="CX145" s="38"/>
      <c r="CY145" s="55"/>
      <c r="CZ145" s="38"/>
      <c r="DA145" s="55"/>
      <c r="DB145" s="72">
        <v>25.632735145574227</v>
      </c>
      <c r="DC145" s="68"/>
      <c r="DD145" s="72">
        <v>21.477010399266248</v>
      </c>
      <c r="DE145" s="68"/>
      <c r="DF145" s="72">
        <v>15.977243519011331</v>
      </c>
      <c r="DG145" s="68"/>
    </row>
    <row r="146" spans="1:111" outlineLevel="1" x14ac:dyDescent="0.2">
      <c r="A146" s="30"/>
      <c r="B146" s="32" t="s">
        <v>142</v>
      </c>
      <c r="C146" s="38">
        <v>20.405122660943743</v>
      </c>
      <c r="D146" s="72">
        <v>21.666743856146255</v>
      </c>
      <c r="E146" s="68"/>
      <c r="F146" s="72">
        <v>19.902087915695478</v>
      </c>
      <c r="G146" s="68"/>
      <c r="H146" s="88">
        <v>21.319909192948106</v>
      </c>
      <c r="I146" s="84"/>
      <c r="J146" s="88">
        <v>20.03202436384964</v>
      </c>
      <c r="K146" s="84"/>
      <c r="L146" s="136"/>
      <c r="M146" s="132"/>
      <c r="N146" s="136"/>
      <c r="O146" s="132"/>
      <c r="P146" s="104">
        <v>14.616171272314977</v>
      </c>
      <c r="Q146" s="100"/>
      <c r="R146" s="104">
        <v>24.996024238436018</v>
      </c>
      <c r="S146" s="100"/>
      <c r="T146" s="104">
        <v>16.760233145649984</v>
      </c>
      <c r="U146" s="100"/>
      <c r="V146" s="120">
        <v>14.616171272314977</v>
      </c>
      <c r="W146" s="116"/>
      <c r="X146" s="120">
        <v>25.663380495797039</v>
      </c>
      <c r="Y146" s="116"/>
      <c r="Z146" s="120">
        <v>16.760233145649984</v>
      </c>
      <c r="AA146" s="116"/>
      <c r="AB146" s="156">
        <v>24.70195724137692</v>
      </c>
      <c r="AC146" s="152"/>
      <c r="AD146" s="156">
        <v>23.945058764866126</v>
      </c>
      <c r="AE146" s="152"/>
      <c r="AF146" s="156">
        <v>8.4838960700779076</v>
      </c>
      <c r="AG146" s="152"/>
      <c r="AH146" s="156">
        <v>13.134580760234902</v>
      </c>
      <c r="AI146" s="152"/>
      <c r="AJ146" s="173">
        <v>19.615456172369189</v>
      </c>
      <c r="AK146" s="169"/>
      <c r="AL146" s="173">
        <v>21.029456701896567</v>
      </c>
      <c r="AM146" s="169"/>
      <c r="AN146" s="38"/>
      <c r="AO146" s="55"/>
      <c r="AP146" s="38"/>
      <c r="AQ146" s="55"/>
      <c r="AR146" s="38"/>
      <c r="AS146" s="55"/>
      <c r="AT146" s="38"/>
      <c r="AU146" s="55"/>
      <c r="AV146" s="38"/>
      <c r="AW146" s="55"/>
      <c r="AX146" s="38"/>
      <c r="AY146" s="55"/>
      <c r="AZ146" s="38"/>
      <c r="BA146" s="55"/>
      <c r="BB146" s="38"/>
      <c r="BC146" s="55"/>
      <c r="BD146" s="72">
        <v>22.426508628122736</v>
      </c>
      <c r="BE146" s="68"/>
      <c r="BF146" s="72">
        <v>17.69637432437764</v>
      </c>
      <c r="BG146" s="68"/>
      <c r="BH146" s="72">
        <v>20.61545911360551</v>
      </c>
      <c r="BI146" s="68"/>
      <c r="BJ146" s="72">
        <v>24.036275246017023</v>
      </c>
      <c r="BK146" s="68"/>
      <c r="BL146" s="88">
        <v>21.866466003548151</v>
      </c>
      <c r="BM146" s="84"/>
      <c r="BN146" s="88">
        <v>16.695709312916147</v>
      </c>
      <c r="BO146" s="84"/>
      <c r="BP146" s="104">
        <v>21.392047883710987</v>
      </c>
      <c r="BQ146" s="100"/>
      <c r="BR146" s="104">
        <v>19.260539926338062</v>
      </c>
      <c r="BS146" s="100"/>
      <c r="BT146" s="120">
        <v>16.185323859384663</v>
      </c>
      <c r="BU146" s="116"/>
      <c r="BV146" s="120">
        <v>23.358067429377581</v>
      </c>
      <c r="BW146" s="116"/>
      <c r="BX146" s="38"/>
      <c r="BY146" s="55"/>
      <c r="BZ146" s="38"/>
      <c r="CA146" s="55"/>
      <c r="CB146" s="38"/>
      <c r="CC146" s="55"/>
      <c r="CD146" s="38"/>
      <c r="CE146" s="55"/>
      <c r="CF146" s="38"/>
      <c r="CG146" s="55"/>
      <c r="CH146" s="38"/>
      <c r="CI146" s="55"/>
      <c r="CJ146" s="38"/>
      <c r="CK146" s="55"/>
      <c r="CL146" s="156">
        <v>21.816543320603603</v>
      </c>
      <c r="CM146" s="152"/>
      <c r="CN146" s="156">
        <v>9.4886914717104531</v>
      </c>
      <c r="CO146" s="152"/>
      <c r="CP146" s="156">
        <v>23.307023685755304</v>
      </c>
      <c r="CQ146" s="152"/>
      <c r="CR146" s="173">
        <v>18.23710224594528</v>
      </c>
      <c r="CS146" s="169"/>
      <c r="CT146" s="173">
        <v>16.097424817549001</v>
      </c>
      <c r="CU146" s="169"/>
      <c r="CV146" s="173">
        <v>26.846157696750137</v>
      </c>
      <c r="CW146" s="169"/>
      <c r="CX146" s="38"/>
      <c r="CY146" s="55"/>
      <c r="CZ146" s="38"/>
      <c r="DA146" s="55"/>
      <c r="DB146" s="72">
        <v>15.836103777117559</v>
      </c>
      <c r="DC146" s="68"/>
      <c r="DD146" s="72">
        <v>18.319568078196102</v>
      </c>
      <c r="DE146" s="68"/>
      <c r="DF146" s="72">
        <v>27.360676593148391</v>
      </c>
      <c r="DG146" s="68"/>
    </row>
    <row r="147" spans="1:111" outlineLevel="1" x14ac:dyDescent="0.2">
      <c r="A147" s="30"/>
      <c r="B147" s="32" t="s">
        <v>143</v>
      </c>
      <c r="C147" s="38">
        <v>14.41018547177681</v>
      </c>
      <c r="D147" s="72">
        <v>4.8661963254377065</v>
      </c>
      <c r="E147" s="68"/>
      <c r="F147" s="72">
        <v>18.215573465524223</v>
      </c>
      <c r="G147" s="68" t="s">
        <v>174</v>
      </c>
      <c r="H147" s="88">
        <v>4.7882997307857851</v>
      </c>
      <c r="I147" s="84"/>
      <c r="J147" s="88">
        <v>18.334499023848927</v>
      </c>
      <c r="K147" s="84" t="s">
        <v>176</v>
      </c>
      <c r="L147" s="136"/>
      <c r="M147" s="132"/>
      <c r="N147" s="136"/>
      <c r="O147" s="132"/>
      <c r="P147" s="104">
        <v>24.982770503101307</v>
      </c>
      <c r="Q147" s="100"/>
      <c r="R147" s="104">
        <v>17.091936058786434</v>
      </c>
      <c r="S147" s="100"/>
      <c r="T147" s="104">
        <v>16.296913957366709</v>
      </c>
      <c r="U147" s="100"/>
      <c r="V147" s="120">
        <v>24.982770503101307</v>
      </c>
      <c r="W147" s="116"/>
      <c r="X147" s="120">
        <v>17.548265048166517</v>
      </c>
      <c r="Y147" s="116"/>
      <c r="Z147" s="120">
        <v>16.296913957366709</v>
      </c>
      <c r="AA147" s="116"/>
      <c r="AB147" s="156">
        <v>7.1899618331862269</v>
      </c>
      <c r="AC147" s="152"/>
      <c r="AD147" s="156">
        <v>17.262866579377267</v>
      </c>
      <c r="AE147" s="152"/>
      <c r="AF147" s="156">
        <v>17.630904042560278</v>
      </c>
      <c r="AG147" s="152"/>
      <c r="AH147" s="156">
        <v>16.645492941156675</v>
      </c>
      <c r="AI147" s="152"/>
      <c r="AJ147" s="173">
        <v>13.690375994471712</v>
      </c>
      <c r="AK147" s="169"/>
      <c r="AL147" s="173">
        <v>14.979288461690002</v>
      </c>
      <c r="AM147" s="169"/>
      <c r="AN147" s="38"/>
      <c r="AO147" s="55"/>
      <c r="AP147" s="38"/>
      <c r="AQ147" s="55"/>
      <c r="AR147" s="38"/>
      <c r="AS147" s="55"/>
      <c r="AT147" s="38"/>
      <c r="AU147" s="55"/>
      <c r="AV147" s="38"/>
      <c r="AW147" s="55"/>
      <c r="AX147" s="38"/>
      <c r="AY147" s="55"/>
      <c r="AZ147" s="38"/>
      <c r="BA147" s="55"/>
      <c r="BB147" s="38"/>
      <c r="BC147" s="55"/>
      <c r="BD147" s="72">
        <v>21.530643918926685</v>
      </c>
      <c r="BE147" s="68"/>
      <c r="BF147" s="72">
        <v>10.707504832919083</v>
      </c>
      <c r="BG147" s="68"/>
      <c r="BH147" s="72">
        <v>12.463979804875725</v>
      </c>
      <c r="BI147" s="68"/>
      <c r="BJ147" s="72">
        <v>18.351914890276802</v>
      </c>
      <c r="BK147" s="68"/>
      <c r="BL147" s="88">
        <v>9.236317366662016</v>
      </c>
      <c r="BM147" s="84"/>
      <c r="BN147" s="88">
        <v>23.003855255332688</v>
      </c>
      <c r="BO147" s="84" t="s">
        <v>195</v>
      </c>
      <c r="BP147" s="104">
        <v>9.2406508563237182</v>
      </c>
      <c r="BQ147" s="100"/>
      <c r="BR147" s="104">
        <v>19.869622286654653</v>
      </c>
      <c r="BS147" s="100" t="s">
        <v>197</v>
      </c>
      <c r="BT147" s="120">
        <v>23.523664799752101</v>
      </c>
      <c r="BU147" s="116" t="s">
        <v>200</v>
      </c>
      <c r="BV147" s="120">
        <v>9.4831732561049957</v>
      </c>
      <c r="BW147" s="116"/>
      <c r="BX147" s="38"/>
      <c r="BY147" s="55"/>
      <c r="BZ147" s="38"/>
      <c r="CA147" s="55"/>
      <c r="CB147" s="38"/>
      <c r="CC147" s="55"/>
      <c r="CD147" s="38"/>
      <c r="CE147" s="55"/>
      <c r="CF147" s="38"/>
      <c r="CG147" s="55"/>
      <c r="CH147" s="38"/>
      <c r="CI147" s="55"/>
      <c r="CJ147" s="38"/>
      <c r="CK147" s="55"/>
      <c r="CL147" s="156">
        <v>18.011619570464354</v>
      </c>
      <c r="CM147" s="152" t="s">
        <v>202</v>
      </c>
      <c r="CN147" s="156">
        <v>4.8704992896958403</v>
      </c>
      <c r="CO147" s="152"/>
      <c r="CP147" s="156">
        <v>7.6209571902427982</v>
      </c>
      <c r="CQ147" s="152"/>
      <c r="CR147" s="173">
        <v>17.552630006572524</v>
      </c>
      <c r="CS147" s="169"/>
      <c r="CT147" s="173">
        <v>14.10300466479443</v>
      </c>
      <c r="CU147" s="169"/>
      <c r="CV147" s="173">
        <v>13.051539090469188</v>
      </c>
      <c r="CW147" s="169"/>
      <c r="CX147" s="38"/>
      <c r="CY147" s="55"/>
      <c r="CZ147" s="38"/>
      <c r="DA147" s="55"/>
      <c r="DB147" s="72">
        <v>9.7217390973770588</v>
      </c>
      <c r="DC147" s="68"/>
      <c r="DD147" s="72">
        <v>12.116452286110533</v>
      </c>
      <c r="DE147" s="68"/>
      <c r="DF147" s="72">
        <v>21.77264938403022</v>
      </c>
      <c r="DG147" s="68"/>
    </row>
    <row r="148" spans="1:111" outlineLevel="1" x14ac:dyDescent="0.2">
      <c r="A148" s="30"/>
      <c r="B148" s="32" t="s">
        <v>107</v>
      </c>
      <c r="C148" s="38">
        <v>2.8176982253757625</v>
      </c>
      <c r="D148" s="72">
        <v>3.3349285825781627</v>
      </c>
      <c r="E148" s="68"/>
      <c r="F148" s="72">
        <v>2.6114676690412875</v>
      </c>
      <c r="G148" s="68"/>
      <c r="H148" s="88">
        <v>3.2815440574548709</v>
      </c>
      <c r="I148" s="84"/>
      <c r="J148" s="88">
        <v>2.6285173793441476</v>
      </c>
      <c r="K148" s="84"/>
      <c r="L148" s="136"/>
      <c r="M148" s="132"/>
      <c r="N148" s="136"/>
      <c r="O148" s="132"/>
      <c r="P148" s="104">
        <v>0</v>
      </c>
      <c r="Q148" s="100"/>
      <c r="R148" s="104">
        <v>2.4600367415206601</v>
      </c>
      <c r="S148" s="100"/>
      <c r="T148" s="104">
        <v>1.5798424780806763</v>
      </c>
      <c r="U148" s="100"/>
      <c r="V148" s="120">
        <v>0</v>
      </c>
      <c r="W148" s="116"/>
      <c r="X148" s="120">
        <v>2.525716023038854</v>
      </c>
      <c r="Y148" s="116"/>
      <c r="Z148" s="120">
        <v>1.5798424780806763</v>
      </c>
      <c r="AA148" s="116"/>
      <c r="AB148" s="156">
        <v>0</v>
      </c>
      <c r="AC148" s="152"/>
      <c r="AD148" s="156">
        <v>3.5575427035059017</v>
      </c>
      <c r="AE148" s="152"/>
      <c r="AF148" s="156">
        <v>2.8971025946145623</v>
      </c>
      <c r="AG148" s="152"/>
      <c r="AH148" s="156">
        <v>6.7403961029127197</v>
      </c>
      <c r="AI148" s="152"/>
      <c r="AJ148" s="173">
        <v>2.9561723691904245</v>
      </c>
      <c r="AK148" s="169"/>
      <c r="AL148" s="173">
        <v>2.7082164086516531</v>
      </c>
      <c r="AM148" s="169"/>
      <c r="AN148" s="38"/>
      <c r="AO148" s="55"/>
      <c r="AP148" s="38"/>
      <c r="AQ148" s="55"/>
      <c r="AR148" s="38"/>
      <c r="AS148" s="55"/>
      <c r="AT148" s="38"/>
      <c r="AU148" s="55"/>
      <c r="AV148" s="38"/>
      <c r="AW148" s="55"/>
      <c r="AX148" s="38"/>
      <c r="AY148" s="55"/>
      <c r="AZ148" s="38"/>
      <c r="BA148" s="55"/>
      <c r="BB148" s="38"/>
      <c r="BC148" s="55"/>
      <c r="BD148" s="72">
        <v>0</v>
      </c>
      <c r="BE148" s="68"/>
      <c r="BF148" s="72">
        <v>3.1997129837850635</v>
      </c>
      <c r="BG148" s="68"/>
      <c r="BH148" s="72">
        <v>4.3579474640988796</v>
      </c>
      <c r="BI148" s="68"/>
      <c r="BJ148" s="72">
        <v>2.5414127565157556</v>
      </c>
      <c r="BK148" s="68"/>
      <c r="BL148" s="88">
        <v>2.3465790924977243</v>
      </c>
      <c r="BM148" s="84"/>
      <c r="BN148" s="88">
        <v>4.0717928670151782</v>
      </c>
      <c r="BO148" s="84"/>
      <c r="BP148" s="104">
        <v>2.6707240399366245</v>
      </c>
      <c r="BQ148" s="100"/>
      <c r="BR148" s="104">
        <v>3.0440404357025312</v>
      </c>
      <c r="BS148" s="100"/>
      <c r="BT148" s="120">
        <v>3.9255272939842412</v>
      </c>
      <c r="BU148" s="116"/>
      <c r="BV148" s="120">
        <v>2.2452135718707655</v>
      </c>
      <c r="BW148" s="116"/>
      <c r="BX148" s="38"/>
      <c r="BY148" s="55"/>
      <c r="BZ148" s="38"/>
      <c r="CA148" s="55"/>
      <c r="CB148" s="38"/>
      <c r="CC148" s="55"/>
      <c r="CD148" s="38"/>
      <c r="CE148" s="55"/>
      <c r="CF148" s="38"/>
      <c r="CG148" s="55"/>
      <c r="CH148" s="38"/>
      <c r="CI148" s="55"/>
      <c r="CJ148" s="38"/>
      <c r="CK148" s="55"/>
      <c r="CL148" s="156">
        <v>2.536496819471064</v>
      </c>
      <c r="CM148" s="152"/>
      <c r="CN148" s="156">
        <v>2.7375983986673238</v>
      </c>
      <c r="CO148" s="152"/>
      <c r="CP148" s="156">
        <v>4.3817586443459007</v>
      </c>
      <c r="CQ148" s="152"/>
      <c r="CR148" s="173">
        <v>0</v>
      </c>
      <c r="CS148" s="169"/>
      <c r="CT148" s="173">
        <v>2.8911719127500435</v>
      </c>
      <c r="CU148" s="169"/>
      <c r="CV148" s="173">
        <v>2.9706494715199199</v>
      </c>
      <c r="CW148" s="169"/>
      <c r="CX148" s="38"/>
      <c r="CY148" s="55"/>
      <c r="CZ148" s="38"/>
      <c r="DA148" s="55"/>
      <c r="DB148" s="72">
        <v>6.0890837862034743</v>
      </c>
      <c r="DC148" s="68"/>
      <c r="DD148" s="72">
        <v>1.7748982006212088</v>
      </c>
      <c r="DE148" s="68"/>
      <c r="DF148" s="72">
        <v>1.5525813612347954</v>
      </c>
      <c r="DG148" s="68"/>
    </row>
    <row r="149" spans="1:111" outlineLevel="1" x14ac:dyDescent="0.2">
      <c r="A149" s="30"/>
      <c r="B149" s="32" t="s">
        <v>110</v>
      </c>
      <c r="C149" s="38">
        <v>0.33817268419433877</v>
      </c>
      <c r="D149" s="72">
        <v>1.1863165351872531</v>
      </c>
      <c r="E149" s="68"/>
      <c r="F149" s="72">
        <v>0</v>
      </c>
      <c r="G149" s="68"/>
      <c r="H149" s="88">
        <v>1.1673263399525711</v>
      </c>
      <c r="I149" s="84"/>
      <c r="J149" s="88">
        <v>0</v>
      </c>
      <c r="K149" s="84"/>
      <c r="L149" s="136"/>
      <c r="M149" s="132"/>
      <c r="N149" s="136"/>
      <c r="O149" s="132"/>
      <c r="P149" s="104">
        <v>0</v>
      </c>
      <c r="Q149" s="100"/>
      <c r="R149" s="104">
        <v>0</v>
      </c>
      <c r="S149" s="100"/>
      <c r="T149" s="104">
        <v>0</v>
      </c>
      <c r="U149" s="100"/>
      <c r="V149" s="120">
        <v>0</v>
      </c>
      <c r="W149" s="116"/>
      <c r="X149" s="120">
        <v>0</v>
      </c>
      <c r="Y149" s="116"/>
      <c r="Z149" s="120">
        <v>0</v>
      </c>
      <c r="AA149" s="116"/>
      <c r="AB149" s="156">
        <v>0</v>
      </c>
      <c r="AC149" s="152"/>
      <c r="AD149" s="156">
        <v>0.76805785532393134</v>
      </c>
      <c r="AE149" s="152"/>
      <c r="AF149" s="156">
        <v>0</v>
      </c>
      <c r="AG149" s="152"/>
      <c r="AH149" s="156">
        <v>0</v>
      </c>
      <c r="AI149" s="152"/>
      <c r="AJ149" s="173">
        <v>0</v>
      </c>
      <c r="AK149" s="169"/>
      <c r="AL149" s="173">
        <v>0.60554216424411855</v>
      </c>
      <c r="AM149" s="169"/>
      <c r="AN149" s="38"/>
      <c r="AO149" s="55"/>
      <c r="AP149" s="38"/>
      <c r="AQ149" s="55"/>
      <c r="AR149" s="38"/>
      <c r="AS149" s="55"/>
      <c r="AT149" s="38"/>
      <c r="AU149" s="55"/>
      <c r="AV149" s="38"/>
      <c r="AW149" s="55"/>
      <c r="AX149" s="38"/>
      <c r="AY149" s="55"/>
      <c r="AZ149" s="38"/>
      <c r="BA149" s="55"/>
      <c r="BB149" s="38"/>
      <c r="BC149" s="55"/>
      <c r="BD149" s="72">
        <v>0</v>
      </c>
      <c r="BE149" s="68"/>
      <c r="BF149" s="72">
        <v>0.85266500966583814</v>
      </c>
      <c r="BG149" s="68"/>
      <c r="BH149" s="72">
        <v>0</v>
      </c>
      <c r="BI149" s="68"/>
      <c r="BJ149" s="72">
        <v>0</v>
      </c>
      <c r="BK149" s="68"/>
      <c r="BL149" s="88">
        <v>0.57441478794160838</v>
      </c>
      <c r="BM149" s="84"/>
      <c r="BN149" s="88">
        <v>0</v>
      </c>
      <c r="BO149" s="84"/>
      <c r="BP149" s="104">
        <v>0.69572215376103408</v>
      </c>
      <c r="BQ149" s="100"/>
      <c r="BR149" s="104">
        <v>0</v>
      </c>
      <c r="BS149" s="100"/>
      <c r="BT149" s="120">
        <v>0</v>
      </c>
      <c r="BU149" s="116"/>
      <c r="BV149" s="120">
        <v>0.54264885769904647</v>
      </c>
      <c r="BW149" s="116"/>
      <c r="BX149" s="38"/>
      <c r="BY149" s="55"/>
      <c r="BZ149" s="38"/>
      <c r="CA149" s="55"/>
      <c r="CB149" s="38"/>
      <c r="CC149" s="55"/>
      <c r="CD149" s="38"/>
      <c r="CE149" s="55"/>
      <c r="CF149" s="38"/>
      <c r="CG149" s="55"/>
      <c r="CH149" s="38"/>
      <c r="CI149" s="55"/>
      <c r="CJ149" s="38"/>
      <c r="CK149" s="55"/>
      <c r="CL149" s="156">
        <v>0</v>
      </c>
      <c r="CM149" s="152"/>
      <c r="CN149" s="156">
        <v>1.5279824489696725</v>
      </c>
      <c r="CO149" s="152"/>
      <c r="CP149" s="156">
        <v>0</v>
      </c>
      <c r="CQ149" s="152"/>
      <c r="CR149" s="173">
        <v>1.5304914346918768</v>
      </c>
      <c r="CS149" s="169"/>
      <c r="CT149" s="173">
        <v>0</v>
      </c>
      <c r="CU149" s="169"/>
      <c r="CV149" s="173">
        <v>0</v>
      </c>
      <c r="CW149" s="169"/>
      <c r="CX149" s="38"/>
      <c r="CY149" s="55"/>
      <c r="CZ149" s="38"/>
      <c r="DA149" s="55"/>
      <c r="DB149" s="72">
        <v>1.3146064639253052</v>
      </c>
      <c r="DC149" s="68"/>
      <c r="DD149" s="72">
        <v>0</v>
      </c>
      <c r="DE149" s="68"/>
      <c r="DF149" s="72">
        <v>0</v>
      </c>
      <c r="DG149" s="68"/>
    </row>
    <row r="150" spans="1:111" outlineLevel="1" x14ac:dyDescent="0.2">
      <c r="A150" s="30"/>
      <c r="B150" s="30"/>
      <c r="E150" s="66"/>
      <c r="G150" s="66"/>
      <c r="I150" s="82"/>
      <c r="K150" s="82"/>
      <c r="M150" s="130"/>
      <c r="O150" s="130"/>
      <c r="Q150" s="98"/>
      <c r="S150" s="98"/>
      <c r="U150" s="98"/>
      <c r="W150" s="114"/>
      <c r="Y150" s="114"/>
      <c r="AA150" s="114"/>
      <c r="AC150" s="150"/>
      <c r="AE150" s="150"/>
      <c r="AG150" s="150"/>
      <c r="AI150" s="150"/>
      <c r="AK150" s="167"/>
      <c r="AM150" s="167"/>
      <c r="AO150" s="54"/>
      <c r="AQ150" s="54"/>
      <c r="AS150" s="54"/>
      <c r="AU150" s="54"/>
      <c r="AW150" s="54"/>
      <c r="AY150" s="54"/>
      <c r="BA150" s="54"/>
      <c r="BC150" s="54"/>
      <c r="BE150" s="66"/>
      <c r="BG150" s="66"/>
      <c r="BI150" s="66"/>
      <c r="BK150" s="66"/>
      <c r="BM150" s="82"/>
      <c r="BO150" s="82"/>
      <c r="BQ150" s="98"/>
      <c r="BS150" s="98"/>
      <c r="BU150" s="114"/>
      <c r="BW150" s="114"/>
      <c r="BY150" s="54"/>
      <c r="CA150" s="54"/>
      <c r="CC150" s="54"/>
      <c r="CE150" s="54"/>
      <c r="CG150" s="54"/>
      <c r="CI150" s="54"/>
      <c r="CK150" s="54"/>
      <c r="CM150" s="150"/>
      <c r="CO150" s="150"/>
      <c r="CQ150" s="150"/>
      <c r="CS150" s="167"/>
      <c r="CU150" s="167"/>
      <c r="CW150" s="167"/>
      <c r="CY150" s="54"/>
      <c r="DA150" s="54"/>
      <c r="DC150" s="66"/>
      <c r="DE150" s="66"/>
      <c r="DG150" s="66"/>
    </row>
    <row r="151" spans="1:111" x14ac:dyDescent="0.2">
      <c r="A151" s="30"/>
      <c r="B151" s="30"/>
      <c r="E151" s="66"/>
      <c r="G151" s="66"/>
      <c r="I151" s="82"/>
      <c r="K151" s="82"/>
      <c r="M151" s="130"/>
      <c r="O151" s="130"/>
      <c r="Q151" s="98"/>
      <c r="S151" s="98"/>
      <c r="U151" s="98"/>
      <c r="W151" s="114"/>
      <c r="Y151" s="114"/>
      <c r="AA151" s="114"/>
      <c r="AC151" s="150"/>
      <c r="AE151" s="150"/>
      <c r="AG151" s="150"/>
      <c r="AI151" s="150"/>
      <c r="AK151" s="167"/>
      <c r="AM151" s="167"/>
      <c r="AO151" s="54"/>
      <c r="AQ151" s="54"/>
      <c r="AS151" s="54"/>
      <c r="AU151" s="54"/>
      <c r="AW151" s="54"/>
      <c r="AY151" s="54"/>
      <c r="BA151" s="54"/>
      <c r="BC151" s="54"/>
      <c r="BE151" s="66"/>
      <c r="BG151" s="66"/>
      <c r="BI151" s="66"/>
      <c r="BK151" s="66"/>
      <c r="BM151" s="82"/>
      <c r="BO151" s="82"/>
      <c r="BQ151" s="98"/>
      <c r="BS151" s="98"/>
      <c r="BU151" s="114"/>
      <c r="BW151" s="114"/>
      <c r="BY151" s="54"/>
      <c r="CA151" s="54"/>
      <c r="CC151" s="54"/>
      <c r="CE151" s="54"/>
      <c r="CG151" s="54"/>
      <c r="CI151" s="54"/>
      <c r="CK151" s="54"/>
      <c r="CM151" s="150"/>
      <c r="CO151" s="150"/>
      <c r="CQ151" s="150"/>
      <c r="CS151" s="167"/>
      <c r="CU151" s="167"/>
      <c r="CW151" s="167"/>
      <c r="CY151" s="54"/>
      <c r="DA151" s="54"/>
      <c r="DC151" s="66"/>
      <c r="DE151" s="66"/>
      <c r="DG151" s="66"/>
    </row>
    <row r="152" spans="1:111" x14ac:dyDescent="0.2">
      <c r="A152" s="28" t="s">
        <v>144</v>
      </c>
      <c r="B152" s="29" t="s">
        <v>145</v>
      </c>
      <c r="E152" s="66"/>
      <c r="G152" s="66"/>
      <c r="I152" s="82"/>
      <c r="K152" s="82"/>
      <c r="M152" s="130"/>
      <c r="O152" s="130"/>
      <c r="Q152" s="98"/>
      <c r="S152" s="98"/>
      <c r="U152" s="98"/>
      <c r="W152" s="114"/>
      <c r="Y152" s="114"/>
      <c r="AA152" s="114"/>
      <c r="AC152" s="150"/>
      <c r="AE152" s="150"/>
      <c r="AG152" s="150"/>
      <c r="AI152" s="150"/>
      <c r="AK152" s="167"/>
      <c r="AM152" s="167"/>
      <c r="AO152" s="54"/>
      <c r="AQ152" s="54"/>
      <c r="AS152" s="54"/>
      <c r="AU152" s="54"/>
      <c r="AW152" s="54"/>
      <c r="AY152" s="54"/>
      <c r="BA152" s="54"/>
      <c r="BC152" s="54"/>
      <c r="BE152" s="66"/>
      <c r="BG152" s="66"/>
      <c r="BI152" s="66"/>
      <c r="BK152" s="66"/>
      <c r="BM152" s="82"/>
      <c r="BO152" s="82"/>
      <c r="BQ152" s="98"/>
      <c r="BS152" s="98"/>
      <c r="BU152" s="114"/>
      <c r="BW152" s="114"/>
      <c r="BY152" s="54"/>
      <c r="CA152" s="54"/>
      <c r="CC152" s="54"/>
      <c r="CE152" s="54"/>
      <c r="CG152" s="54"/>
      <c r="CI152" s="54"/>
      <c r="CK152" s="54"/>
      <c r="CM152" s="150"/>
      <c r="CO152" s="150"/>
      <c r="CQ152" s="150"/>
      <c r="CS152" s="167"/>
      <c r="CU152" s="167"/>
      <c r="CW152" s="167"/>
      <c r="CY152" s="54"/>
      <c r="DA152" s="54"/>
      <c r="DC152" s="66"/>
      <c r="DE152" s="66"/>
      <c r="DG152" s="66"/>
    </row>
    <row r="153" spans="1:111" outlineLevel="1" x14ac:dyDescent="0.2">
      <c r="A153" s="30"/>
      <c r="B153" s="32" t="s">
        <v>63</v>
      </c>
      <c r="C153" s="31">
        <f>697.229271339924+34.7707286600755</f>
        <v>731.99999999999955</v>
      </c>
      <c r="D153" s="67">
        <f>0+0</f>
        <v>0</v>
      </c>
      <c r="E153" s="68"/>
      <c r="F153" s="67">
        <f>697.229271339924+34.7707286600755</f>
        <v>731.99999999999955</v>
      </c>
      <c r="G153" s="68"/>
      <c r="H153" s="83">
        <f>108.389601570209+6.61039842979146</f>
        <v>115.00000000000045</v>
      </c>
      <c r="I153" s="84"/>
      <c r="J153" s="83">
        <f>588.872678023413+28.1273219765872</f>
        <v>617.00000000000011</v>
      </c>
      <c r="K153" s="84"/>
      <c r="L153" s="131"/>
      <c r="M153" s="132"/>
      <c r="N153" s="131"/>
      <c r="O153" s="132"/>
      <c r="P153" s="99">
        <f>197.775455801689+12.2245441983108</f>
        <v>209.9999999999998</v>
      </c>
      <c r="Q153" s="100"/>
      <c r="R153" s="99">
        <f>183.624369897672+9.37563010232844</f>
        <v>193.00000000000045</v>
      </c>
      <c r="S153" s="100"/>
      <c r="T153" s="99">
        <f>202.167219603481+6.83278039651879</f>
        <v>208.99999999999977</v>
      </c>
      <c r="U153" s="100"/>
      <c r="V153" s="115">
        <f>142.903095748811+7.09690425118887</f>
        <v>149.99999999999989</v>
      </c>
      <c r="W153" s="116"/>
      <c r="X153" s="115">
        <f>159.312800786456+8.68719921354355</f>
        <v>167.99999999999955</v>
      </c>
      <c r="Y153" s="116"/>
      <c r="Z153" s="115">
        <f>187.399553476067+6.60044652393256</f>
        <v>193.99999999999957</v>
      </c>
      <c r="AA153" s="116"/>
      <c r="AB153" s="151">
        <f>208.712119511624+8.28788048837572</f>
        <v>216.99999999999972</v>
      </c>
      <c r="AC153" s="152"/>
      <c r="AD153" s="151">
        <f>325.192210296743+17.807789703257</f>
        <v>343</v>
      </c>
      <c r="AE153" s="152"/>
      <c r="AF153" s="151">
        <f>115.004887560678+3.99511243932177</f>
        <v>118.99999999999977</v>
      </c>
      <c r="AG153" s="152"/>
      <c r="AH153" s="151">
        <f>51.6589616511431+1.34103834885692</f>
        <v>53.000000000000021</v>
      </c>
      <c r="AI153" s="152"/>
      <c r="AJ153" s="168">
        <f>285.680783112892+11.319216887108</f>
        <v>297</v>
      </c>
      <c r="AK153" s="169"/>
      <c r="AL153" s="168">
        <f>411.777536847407+23.2224631525931</f>
        <v>435.00000000000011</v>
      </c>
      <c r="AM153" s="169"/>
      <c r="AN153" s="31"/>
      <c r="AO153" s="55"/>
      <c r="AP153" s="31"/>
      <c r="AQ153" s="55"/>
      <c r="AR153" s="31"/>
      <c r="AS153" s="55"/>
      <c r="AT153" s="31"/>
      <c r="AU153" s="55"/>
      <c r="AV153" s="31"/>
      <c r="AW153" s="55"/>
      <c r="AX153" s="31"/>
      <c r="AY153" s="55"/>
      <c r="AZ153" s="31"/>
      <c r="BA153" s="55"/>
      <c r="BB153" s="31"/>
      <c r="BC153" s="55"/>
      <c r="BD153" s="67">
        <f>114.303400105512+3.69659989448833</f>
        <v>118.00000000000033</v>
      </c>
      <c r="BE153" s="68"/>
      <c r="BF153" s="67">
        <f>320.143729237325+8.85627076267514</f>
        <v>329.00000000000011</v>
      </c>
      <c r="BG153" s="68"/>
      <c r="BH153" s="67">
        <f>154.033955500815+4.96604449918459</f>
        <v>158.9999999999996</v>
      </c>
      <c r="BI153" s="68"/>
      <c r="BJ153" s="67">
        <f>116.914459213077+9.08554078692349</f>
        <v>126.00000000000048</v>
      </c>
      <c r="BK153" s="68"/>
      <c r="BL153" s="83">
        <f>437.557569429027+19.4424305709727</f>
        <v>456.99999999999972</v>
      </c>
      <c r="BM153" s="84"/>
      <c r="BN153" s="83">
        <f>224.770174492461+13.2298255075391</f>
        <v>238.00000000000009</v>
      </c>
      <c r="BO153" s="84"/>
      <c r="BP153" s="99">
        <f>305.676105764278+10.3238942357225</f>
        <v>316.00000000000051</v>
      </c>
      <c r="BQ153" s="100"/>
      <c r="BR153" s="99">
        <f>387.334736028857+23.6652639711435</f>
        <v>411.00000000000045</v>
      </c>
      <c r="BS153" s="100"/>
      <c r="BT153" s="115">
        <f>203.733293028276+11.2667069717237</f>
        <v>214.99999999999969</v>
      </c>
      <c r="BU153" s="116"/>
      <c r="BV153" s="115">
        <f>489.286603261412+22.713396738588</f>
        <v>512</v>
      </c>
      <c r="BW153" s="116"/>
      <c r="BX153" s="31"/>
      <c r="BY153" s="55"/>
      <c r="BZ153" s="31"/>
      <c r="CA153" s="55"/>
      <c r="CB153" s="31"/>
      <c r="CC153" s="55"/>
      <c r="CD153" s="31"/>
      <c r="CE153" s="55"/>
      <c r="CF153" s="31"/>
      <c r="CG153" s="55"/>
      <c r="CH153" s="31"/>
      <c r="CI153" s="55"/>
      <c r="CJ153" s="31"/>
      <c r="CK153" s="55"/>
      <c r="CL153" s="151">
        <f>486.495760961447+20.504239038553</f>
        <v>507</v>
      </c>
      <c r="CM153" s="152"/>
      <c r="CN153" s="151">
        <f>130.574243824643+9.42575617535672</f>
        <v>139.99999999999972</v>
      </c>
      <c r="CO153" s="152"/>
      <c r="CP153" s="151">
        <f>102.931344042743+8.06865595725701</f>
        <v>111.00000000000001</v>
      </c>
      <c r="CQ153" s="152"/>
      <c r="CR153" s="168">
        <f>197.775455801689+12.2245441983108</f>
        <v>209.9999999999998</v>
      </c>
      <c r="CS153" s="169"/>
      <c r="CT153" s="168">
        <f>202.167219603481+6.83278039651879</f>
        <v>208.99999999999977</v>
      </c>
      <c r="CU153" s="169"/>
      <c r="CV153" s="168">
        <f>183.624369897672+9.37563010232844</f>
        <v>193.00000000000045</v>
      </c>
      <c r="CW153" s="169"/>
      <c r="CX153" s="31"/>
      <c r="CY153" s="55"/>
      <c r="CZ153" s="31"/>
      <c r="DA153" s="55"/>
      <c r="DB153" s="67">
        <f>189.847824869749+11.1521751302509</f>
        <v>200.99999999999989</v>
      </c>
      <c r="DC153" s="68"/>
      <c r="DD153" s="67">
        <f>301.510371446147+14.4896285538527</f>
        <v>315.99999999999972</v>
      </c>
      <c r="DE153" s="68"/>
      <c r="DF153" s="67">
        <f>205.898931548757+9.10106845124318</f>
        <v>215.00000000000017</v>
      </c>
      <c r="DG153" s="68"/>
    </row>
    <row r="154" spans="1:111" s="35" customFormat="1" outlineLevel="1" x14ac:dyDescent="0.2">
      <c r="A154" s="30"/>
      <c r="B154" s="33"/>
      <c r="C154" s="34" t="s">
        <v>167</v>
      </c>
      <c r="D154" s="69" t="s">
        <v>167</v>
      </c>
      <c r="E154" s="70"/>
      <c r="F154" s="69" t="s">
        <v>167</v>
      </c>
      <c r="G154" s="70"/>
      <c r="H154" s="85" t="s">
        <v>167</v>
      </c>
      <c r="I154" s="86"/>
      <c r="J154" s="85" t="s">
        <v>167</v>
      </c>
      <c r="K154" s="86"/>
      <c r="L154" s="133"/>
      <c r="M154" s="134"/>
      <c r="N154" s="133"/>
      <c r="O154" s="134"/>
      <c r="P154" s="101" t="s">
        <v>167</v>
      </c>
      <c r="Q154" s="102"/>
      <c r="R154" s="101" t="s">
        <v>167</v>
      </c>
      <c r="S154" s="102"/>
      <c r="T154" s="101" t="s">
        <v>167</v>
      </c>
      <c r="U154" s="102"/>
      <c r="V154" s="117" t="s">
        <v>167</v>
      </c>
      <c r="W154" s="118"/>
      <c r="X154" s="117" t="s">
        <v>167</v>
      </c>
      <c r="Y154" s="118"/>
      <c r="Z154" s="117" t="s">
        <v>167</v>
      </c>
      <c r="AA154" s="118"/>
      <c r="AB154" s="153" t="s">
        <v>167</v>
      </c>
      <c r="AC154" s="154"/>
      <c r="AD154" s="153" t="s">
        <v>167</v>
      </c>
      <c r="AE154" s="154"/>
      <c r="AF154" s="153" t="s">
        <v>167</v>
      </c>
      <c r="AG154" s="154"/>
      <c r="AH154" s="153" t="s">
        <v>167</v>
      </c>
      <c r="AI154" s="154"/>
      <c r="AJ154" s="170" t="s">
        <v>167</v>
      </c>
      <c r="AK154" s="171"/>
      <c r="AL154" s="170" t="s">
        <v>167</v>
      </c>
      <c r="AM154" s="171"/>
      <c r="AN154" s="34"/>
      <c r="AO154" s="56"/>
      <c r="AP154" s="34"/>
      <c r="AQ154" s="56"/>
      <c r="AR154" s="34"/>
      <c r="AS154" s="56"/>
      <c r="AT154" s="34"/>
      <c r="AU154" s="56"/>
      <c r="AV154" s="34"/>
      <c r="AW154" s="56"/>
      <c r="AX154" s="34"/>
      <c r="AY154" s="56"/>
      <c r="AZ154" s="34"/>
      <c r="BA154" s="56"/>
      <c r="BB154" s="34"/>
      <c r="BC154" s="56"/>
      <c r="BD154" s="69" t="s">
        <v>167</v>
      </c>
      <c r="BE154" s="70"/>
      <c r="BF154" s="69" t="s">
        <v>167</v>
      </c>
      <c r="BG154" s="70"/>
      <c r="BH154" s="69" t="s">
        <v>167</v>
      </c>
      <c r="BI154" s="70"/>
      <c r="BJ154" s="69" t="s">
        <v>167</v>
      </c>
      <c r="BK154" s="70"/>
      <c r="BL154" s="85" t="s">
        <v>167</v>
      </c>
      <c r="BM154" s="86"/>
      <c r="BN154" s="85" t="s">
        <v>167</v>
      </c>
      <c r="BO154" s="86"/>
      <c r="BP154" s="101" t="s">
        <v>167</v>
      </c>
      <c r="BQ154" s="102"/>
      <c r="BR154" s="101" t="s">
        <v>167</v>
      </c>
      <c r="BS154" s="102"/>
      <c r="BT154" s="117" t="s">
        <v>167</v>
      </c>
      <c r="BU154" s="118"/>
      <c r="BV154" s="117" t="s">
        <v>167</v>
      </c>
      <c r="BW154" s="118"/>
      <c r="BX154" s="34"/>
      <c r="BY154" s="56"/>
      <c r="BZ154" s="34"/>
      <c r="CA154" s="56"/>
      <c r="CB154" s="34"/>
      <c r="CC154" s="56"/>
      <c r="CD154" s="34"/>
      <c r="CE154" s="56"/>
      <c r="CF154" s="34"/>
      <c r="CG154" s="56"/>
      <c r="CH154" s="34"/>
      <c r="CI154" s="56"/>
      <c r="CJ154" s="34"/>
      <c r="CK154" s="56"/>
      <c r="CL154" s="153" t="s">
        <v>167</v>
      </c>
      <c r="CM154" s="154"/>
      <c r="CN154" s="153" t="s">
        <v>167</v>
      </c>
      <c r="CO154" s="154"/>
      <c r="CP154" s="153" t="s">
        <v>167</v>
      </c>
      <c r="CQ154" s="154"/>
      <c r="CR154" s="170" t="s">
        <v>167</v>
      </c>
      <c r="CS154" s="171"/>
      <c r="CT154" s="170" t="s">
        <v>167</v>
      </c>
      <c r="CU154" s="171"/>
      <c r="CV154" s="170" t="s">
        <v>167</v>
      </c>
      <c r="CW154" s="171"/>
      <c r="CX154" s="34"/>
      <c r="CY154" s="56"/>
      <c r="CZ154" s="34"/>
      <c r="DA154" s="56"/>
      <c r="DB154" s="69" t="s">
        <v>167</v>
      </c>
      <c r="DC154" s="70"/>
      <c r="DD154" s="69" t="s">
        <v>167</v>
      </c>
      <c r="DE154" s="70"/>
      <c r="DF154" s="69" t="s">
        <v>167</v>
      </c>
      <c r="DG154" s="70"/>
    </row>
    <row r="155" spans="1:111" outlineLevel="1" x14ac:dyDescent="0.2">
      <c r="A155" s="30"/>
      <c r="B155" s="30"/>
      <c r="E155" s="66"/>
      <c r="G155" s="66"/>
      <c r="I155" s="82"/>
      <c r="K155" s="82"/>
      <c r="M155" s="130"/>
      <c r="O155" s="130"/>
      <c r="Q155" s="98"/>
      <c r="S155" s="98"/>
      <c r="U155" s="98"/>
      <c r="W155" s="114"/>
      <c r="Y155" s="114"/>
      <c r="AA155" s="114"/>
      <c r="AC155" s="150"/>
      <c r="AE155" s="150"/>
      <c r="AG155" s="150"/>
      <c r="AI155" s="150"/>
      <c r="AK155" s="167"/>
      <c r="AM155" s="167"/>
      <c r="AO155" s="54"/>
      <c r="AQ155" s="54"/>
      <c r="AS155" s="54"/>
      <c r="AU155" s="54"/>
      <c r="AW155" s="54"/>
      <c r="AY155" s="54"/>
      <c r="BA155" s="54"/>
      <c r="BC155" s="54"/>
      <c r="BE155" s="66"/>
      <c r="BG155" s="66"/>
      <c r="BI155" s="66"/>
      <c r="BK155" s="66"/>
      <c r="BM155" s="82"/>
      <c r="BO155" s="82"/>
      <c r="BQ155" s="98"/>
      <c r="BS155" s="98"/>
      <c r="BU155" s="114"/>
      <c r="BW155" s="114"/>
      <c r="BY155" s="54"/>
      <c r="CA155" s="54"/>
      <c r="CC155" s="54"/>
      <c r="CE155" s="54"/>
      <c r="CG155" s="54"/>
      <c r="CI155" s="54"/>
      <c r="CK155" s="54"/>
      <c r="CM155" s="150"/>
      <c r="CO155" s="150"/>
      <c r="CQ155" s="150"/>
      <c r="CS155" s="167"/>
      <c r="CU155" s="167"/>
      <c r="CW155" s="167"/>
      <c r="CY155" s="54"/>
      <c r="DA155" s="54"/>
      <c r="DC155" s="66"/>
      <c r="DE155" s="66"/>
      <c r="DG155" s="66"/>
    </row>
    <row r="156" spans="1:111" outlineLevel="1" x14ac:dyDescent="0.2">
      <c r="A156" s="30"/>
      <c r="B156" s="29" t="s">
        <v>92</v>
      </c>
      <c r="C156" s="36">
        <v>29.497626094842001</v>
      </c>
      <c r="D156" s="71">
        <v>0</v>
      </c>
      <c r="E156" s="68"/>
      <c r="F156" s="71">
        <v>29.497626094842001</v>
      </c>
      <c r="G156" s="68"/>
      <c r="H156" s="87">
        <v>76.837094968974512</v>
      </c>
      <c r="I156" s="84" t="s">
        <v>177</v>
      </c>
      <c r="J156" s="87">
        <v>20.618232730788826</v>
      </c>
      <c r="K156" s="84"/>
      <c r="L156" s="135"/>
      <c r="M156" s="132"/>
      <c r="N156" s="135"/>
      <c r="O156" s="132"/>
      <c r="P156" s="103">
        <v>45.784931866997091</v>
      </c>
      <c r="Q156" s="100" t="s">
        <v>250</v>
      </c>
      <c r="R156" s="103">
        <v>26.689362408793215</v>
      </c>
      <c r="S156" s="100"/>
      <c r="T156" s="103">
        <v>19.919448485867257</v>
      </c>
      <c r="U156" s="100"/>
      <c r="V156" s="119">
        <v>29.766843591327458</v>
      </c>
      <c r="W156" s="116" t="s">
        <v>185</v>
      </c>
      <c r="X156" s="119">
        <v>21.334666529542442</v>
      </c>
      <c r="Y156" s="116"/>
      <c r="Z156" s="119">
        <v>14.827413041796127</v>
      </c>
      <c r="AA156" s="116"/>
      <c r="AB156" s="155">
        <v>32.972678442583145</v>
      </c>
      <c r="AC156" s="152"/>
      <c r="AD156" s="155">
        <v>27.982764698711691</v>
      </c>
      <c r="AE156" s="152"/>
      <c r="AF156" s="155">
        <v>31.000983396077441</v>
      </c>
      <c r="AG156" s="152"/>
      <c r="AH156" s="155">
        <v>22.362956155643367</v>
      </c>
      <c r="AI156" s="152"/>
      <c r="AJ156" s="172">
        <v>34.205451344164814</v>
      </c>
      <c r="AK156" s="169" t="s">
        <v>187</v>
      </c>
      <c r="AL156" s="172">
        <v>26.109229530211433</v>
      </c>
      <c r="AM156" s="169"/>
      <c r="AN156" s="36"/>
      <c r="AO156" s="55"/>
      <c r="AP156" s="36"/>
      <c r="AQ156" s="55"/>
      <c r="AR156" s="36"/>
      <c r="AS156" s="55"/>
      <c r="AT156" s="36"/>
      <c r="AU156" s="55"/>
      <c r="AV156" s="36"/>
      <c r="AW156" s="55"/>
      <c r="AX156" s="36"/>
      <c r="AY156" s="55"/>
      <c r="AZ156" s="36"/>
      <c r="BA156" s="55"/>
      <c r="BB156" s="36"/>
      <c r="BC156" s="55"/>
      <c r="BD156" s="71">
        <v>29.201159280071526</v>
      </c>
      <c r="BE156" s="68"/>
      <c r="BF156" s="71">
        <v>29.810275976455038</v>
      </c>
      <c r="BG156" s="68"/>
      <c r="BH156" s="71">
        <v>28.361921142835122</v>
      </c>
      <c r="BI156" s="68"/>
      <c r="BJ156" s="71">
        <v>30.429555150182455</v>
      </c>
      <c r="BK156" s="68"/>
      <c r="BL156" s="87">
        <v>29.283604037872976</v>
      </c>
      <c r="BM156" s="84"/>
      <c r="BN156" s="87">
        <v>29.827372553831054</v>
      </c>
      <c r="BO156" s="84"/>
      <c r="BP156" s="103">
        <v>26.897145689858593</v>
      </c>
      <c r="BQ156" s="100"/>
      <c r="BR156" s="103">
        <v>31.167809217309358</v>
      </c>
      <c r="BS156" s="100"/>
      <c r="BT156" s="119">
        <v>31.771384284392322</v>
      </c>
      <c r="BU156" s="116"/>
      <c r="BV156" s="119">
        <v>28.569327911435266</v>
      </c>
      <c r="BW156" s="116"/>
      <c r="BX156" s="36"/>
      <c r="BY156" s="55"/>
      <c r="BZ156" s="36"/>
      <c r="CA156" s="55"/>
      <c r="CB156" s="36"/>
      <c r="CC156" s="55"/>
      <c r="CD156" s="36"/>
      <c r="CE156" s="55"/>
      <c r="CF156" s="36"/>
      <c r="CG156" s="55"/>
      <c r="CH156" s="36"/>
      <c r="CI156" s="55"/>
      <c r="CJ156" s="36"/>
      <c r="CK156" s="55"/>
      <c r="CL156" s="155">
        <v>28.795273607989781</v>
      </c>
      <c r="CM156" s="152"/>
      <c r="CN156" s="155">
        <v>27.943762569779899</v>
      </c>
      <c r="CO156" s="152"/>
      <c r="CP156" s="155">
        <v>33.995930312112399</v>
      </c>
      <c r="CQ156" s="152"/>
      <c r="CR156" s="172">
        <v>45.784931866997091</v>
      </c>
      <c r="CS156" s="169" t="s">
        <v>243</v>
      </c>
      <c r="CT156" s="172">
        <v>19.919448485867257</v>
      </c>
      <c r="CU156" s="169"/>
      <c r="CV156" s="172">
        <v>26.689362408793215</v>
      </c>
      <c r="CW156" s="169"/>
      <c r="CX156" s="36"/>
      <c r="CY156" s="55"/>
      <c r="CZ156" s="36"/>
      <c r="DA156" s="55"/>
      <c r="DB156" s="71">
        <v>39.136207497386373</v>
      </c>
      <c r="DC156" s="68" t="s">
        <v>245</v>
      </c>
      <c r="DD156" s="71">
        <v>29.062075503510496</v>
      </c>
      <c r="DE156" s="68" t="s">
        <v>208</v>
      </c>
      <c r="DF156" s="71">
        <v>21.198306545208307</v>
      </c>
      <c r="DG156" s="68"/>
    </row>
    <row r="157" spans="1:111" outlineLevel="1" x14ac:dyDescent="0.2">
      <c r="A157" s="30"/>
      <c r="B157" s="37" t="s">
        <v>93</v>
      </c>
      <c r="C157" s="38">
        <v>10.650319139082674</v>
      </c>
      <c r="D157" s="72">
        <v>0</v>
      </c>
      <c r="E157" s="68"/>
      <c r="F157" s="72">
        <v>10.650319139082674</v>
      </c>
      <c r="G157" s="68"/>
      <c r="H157" s="88">
        <v>44.244412037926011</v>
      </c>
      <c r="I157" s="84" t="s">
        <v>177</v>
      </c>
      <c r="J157" s="88">
        <v>4.3491253857160936</v>
      </c>
      <c r="K157" s="84"/>
      <c r="L157" s="136"/>
      <c r="M157" s="132"/>
      <c r="N157" s="136"/>
      <c r="O157" s="132"/>
      <c r="P157" s="104">
        <v>20.496611145965122</v>
      </c>
      <c r="Q157" s="100" t="s">
        <v>250</v>
      </c>
      <c r="R157" s="104">
        <v>8.9154825785961158</v>
      </c>
      <c r="S157" s="100" t="s">
        <v>182</v>
      </c>
      <c r="T157" s="104">
        <v>3.674522806183667</v>
      </c>
      <c r="U157" s="100"/>
      <c r="V157" s="120">
        <v>6.3479390429738869</v>
      </c>
      <c r="W157" s="116" t="s">
        <v>185</v>
      </c>
      <c r="X157" s="120">
        <v>5.4402252324820335</v>
      </c>
      <c r="Y157" s="116" t="s">
        <v>185</v>
      </c>
      <c r="Z157" s="120">
        <v>1.5166630401083501</v>
      </c>
      <c r="AA157" s="116"/>
      <c r="AB157" s="156">
        <v>10.495172843350982</v>
      </c>
      <c r="AC157" s="152"/>
      <c r="AD157" s="156">
        <v>10.842842913198613</v>
      </c>
      <c r="AE157" s="152"/>
      <c r="AF157" s="156">
        <v>9.9691999637228204</v>
      </c>
      <c r="AG157" s="152"/>
      <c r="AH157" s="156">
        <v>11.464429691098013</v>
      </c>
      <c r="AI157" s="152"/>
      <c r="AJ157" s="173">
        <v>12.101335122985255</v>
      </c>
      <c r="AK157" s="169"/>
      <c r="AL157" s="173">
        <v>9.6059690804676556</v>
      </c>
      <c r="AM157" s="169"/>
      <c r="AN157" s="38"/>
      <c r="AO157" s="55"/>
      <c r="AP157" s="38"/>
      <c r="AQ157" s="55"/>
      <c r="AR157" s="38"/>
      <c r="AS157" s="55"/>
      <c r="AT157" s="38"/>
      <c r="AU157" s="55"/>
      <c r="AV157" s="38"/>
      <c r="AW157" s="55"/>
      <c r="AX157" s="38"/>
      <c r="AY157" s="55"/>
      <c r="AZ157" s="38"/>
      <c r="BA157" s="55"/>
      <c r="BB157" s="38"/>
      <c r="BC157" s="55"/>
      <c r="BD157" s="72">
        <v>7.0408555521481668</v>
      </c>
      <c r="BE157" s="68"/>
      <c r="BF157" s="72">
        <v>11.14486589416498</v>
      </c>
      <c r="BG157" s="68"/>
      <c r="BH157" s="72">
        <v>8.8076609374279311</v>
      </c>
      <c r="BI157" s="68"/>
      <c r="BJ157" s="72">
        <v>14.688264172586795</v>
      </c>
      <c r="BK157" s="68"/>
      <c r="BL157" s="88">
        <v>10.958888655891574</v>
      </c>
      <c r="BM157" s="84"/>
      <c r="BN157" s="88">
        <v>9.6865222992454445</v>
      </c>
      <c r="BO157" s="84"/>
      <c r="BP157" s="104">
        <v>10.450126245983887</v>
      </c>
      <c r="BQ157" s="100"/>
      <c r="BR157" s="104">
        <v>10.729988584505056</v>
      </c>
      <c r="BS157" s="100"/>
      <c r="BT157" s="120">
        <v>11.413602819437507</v>
      </c>
      <c r="BU157" s="116"/>
      <c r="BV157" s="120">
        <v>10.195030951237891</v>
      </c>
      <c r="BW157" s="116"/>
      <c r="BX157" s="38"/>
      <c r="BY157" s="55"/>
      <c r="BZ157" s="38"/>
      <c r="CA157" s="55"/>
      <c r="CB157" s="38"/>
      <c r="CC157" s="55"/>
      <c r="CD157" s="38"/>
      <c r="CE157" s="55"/>
      <c r="CF157" s="38"/>
      <c r="CG157" s="55"/>
      <c r="CH157" s="38"/>
      <c r="CI157" s="55"/>
      <c r="CJ157" s="38"/>
      <c r="CK157" s="55"/>
      <c r="CL157" s="156">
        <v>9.3048893898610814</v>
      </c>
      <c r="CM157" s="152"/>
      <c r="CN157" s="156">
        <v>10.282202131458753</v>
      </c>
      <c r="CO157" s="152"/>
      <c r="CP157" s="156">
        <v>16.386629177278607</v>
      </c>
      <c r="CQ157" s="152" t="s">
        <v>201</v>
      </c>
      <c r="CR157" s="173">
        <v>20.496611145965122</v>
      </c>
      <c r="CS157" s="169" t="s">
        <v>243</v>
      </c>
      <c r="CT157" s="173">
        <v>3.674522806183667</v>
      </c>
      <c r="CU157" s="169"/>
      <c r="CV157" s="173">
        <v>8.9154825785961158</v>
      </c>
      <c r="CW157" s="169" t="s">
        <v>204</v>
      </c>
      <c r="CX157" s="38"/>
      <c r="CY157" s="55"/>
      <c r="CZ157" s="38"/>
      <c r="DA157" s="55"/>
      <c r="DB157" s="72">
        <v>16.968088813660575</v>
      </c>
      <c r="DC157" s="68" t="s">
        <v>245</v>
      </c>
      <c r="DD157" s="72">
        <v>9.267837998619342</v>
      </c>
      <c r="DE157" s="68"/>
      <c r="DF157" s="72">
        <v>6.8010347455297264</v>
      </c>
      <c r="DG157" s="68"/>
    </row>
    <row r="158" spans="1:111" outlineLevel="1" x14ac:dyDescent="0.2">
      <c r="A158" s="30"/>
      <c r="B158" s="37" t="s">
        <v>94</v>
      </c>
      <c r="C158" s="38">
        <v>18.847306955759326</v>
      </c>
      <c r="D158" s="72">
        <v>0</v>
      </c>
      <c r="E158" s="68"/>
      <c r="F158" s="72">
        <v>18.847306955759326</v>
      </c>
      <c r="G158" s="68"/>
      <c r="H158" s="88">
        <v>32.5926829310485</v>
      </c>
      <c r="I158" s="84" t="s">
        <v>177</v>
      </c>
      <c r="J158" s="88">
        <v>16.269107345072729</v>
      </c>
      <c r="K158" s="84"/>
      <c r="L158" s="136"/>
      <c r="M158" s="132"/>
      <c r="N158" s="136"/>
      <c r="O158" s="132"/>
      <c r="P158" s="104">
        <v>25.288320721031965</v>
      </c>
      <c r="Q158" s="100" t="s">
        <v>182</v>
      </c>
      <c r="R158" s="104">
        <v>17.773879830197099</v>
      </c>
      <c r="S158" s="100"/>
      <c r="T158" s="104">
        <v>16.24492567968359</v>
      </c>
      <c r="U158" s="100"/>
      <c r="V158" s="120">
        <v>23.41890454835357</v>
      </c>
      <c r="W158" s="116" t="s">
        <v>185</v>
      </c>
      <c r="X158" s="120">
        <v>15.894441297060411</v>
      </c>
      <c r="Y158" s="116"/>
      <c r="Z158" s="120">
        <v>13.310750001687778</v>
      </c>
      <c r="AA158" s="116"/>
      <c r="AB158" s="156">
        <v>22.477505599232163</v>
      </c>
      <c r="AC158" s="152"/>
      <c r="AD158" s="156">
        <v>17.139921785513078</v>
      </c>
      <c r="AE158" s="152"/>
      <c r="AF158" s="156">
        <v>21.031783432354622</v>
      </c>
      <c r="AG158" s="152"/>
      <c r="AH158" s="156">
        <v>10.898526464545354</v>
      </c>
      <c r="AI158" s="152"/>
      <c r="AJ158" s="173">
        <v>22.104116221179563</v>
      </c>
      <c r="AK158" s="169"/>
      <c r="AL158" s="173">
        <v>16.503260449743777</v>
      </c>
      <c r="AM158" s="169"/>
      <c r="AN158" s="38"/>
      <c r="AO158" s="55"/>
      <c r="AP158" s="38"/>
      <c r="AQ158" s="55"/>
      <c r="AR158" s="38"/>
      <c r="AS158" s="55"/>
      <c r="AT158" s="38"/>
      <c r="AU158" s="55"/>
      <c r="AV158" s="38"/>
      <c r="AW158" s="55"/>
      <c r="AX158" s="38"/>
      <c r="AY158" s="55"/>
      <c r="AZ158" s="38"/>
      <c r="BA158" s="55"/>
      <c r="BB158" s="38"/>
      <c r="BC158" s="55"/>
      <c r="BD158" s="72">
        <v>22.16030372792336</v>
      </c>
      <c r="BE158" s="68"/>
      <c r="BF158" s="72">
        <v>18.665410082290059</v>
      </c>
      <c r="BG158" s="68"/>
      <c r="BH158" s="72">
        <v>19.554260205407193</v>
      </c>
      <c r="BI158" s="68"/>
      <c r="BJ158" s="72">
        <v>15.741290977595661</v>
      </c>
      <c r="BK158" s="68"/>
      <c r="BL158" s="88">
        <v>18.324715381981402</v>
      </c>
      <c r="BM158" s="84"/>
      <c r="BN158" s="88">
        <v>20.140850254585608</v>
      </c>
      <c r="BO158" s="84"/>
      <c r="BP158" s="104">
        <v>16.447019443874709</v>
      </c>
      <c r="BQ158" s="100"/>
      <c r="BR158" s="104">
        <v>20.4378206328043</v>
      </c>
      <c r="BS158" s="100"/>
      <c r="BT158" s="120">
        <v>20.357781464954812</v>
      </c>
      <c r="BU158" s="116"/>
      <c r="BV158" s="120">
        <v>18.374296960197377</v>
      </c>
      <c r="BW158" s="116"/>
      <c r="BX158" s="38"/>
      <c r="BY158" s="55"/>
      <c r="BZ158" s="38"/>
      <c r="CA158" s="55"/>
      <c r="CB158" s="38"/>
      <c r="CC158" s="55"/>
      <c r="CD158" s="38"/>
      <c r="CE158" s="55"/>
      <c r="CF158" s="38"/>
      <c r="CG158" s="55"/>
      <c r="CH158" s="38"/>
      <c r="CI158" s="55"/>
      <c r="CJ158" s="38"/>
      <c r="CK158" s="55"/>
      <c r="CL158" s="156">
        <v>19.4903842181287</v>
      </c>
      <c r="CM158" s="152"/>
      <c r="CN158" s="156">
        <v>17.661560438321146</v>
      </c>
      <c r="CO158" s="152"/>
      <c r="CP158" s="156">
        <v>17.609301134833792</v>
      </c>
      <c r="CQ158" s="152"/>
      <c r="CR158" s="173">
        <v>25.288320721031965</v>
      </c>
      <c r="CS158" s="169" t="s">
        <v>204</v>
      </c>
      <c r="CT158" s="173">
        <v>16.24492567968359</v>
      </c>
      <c r="CU158" s="169"/>
      <c r="CV158" s="173">
        <v>17.773879830197099</v>
      </c>
      <c r="CW158" s="169"/>
      <c r="CX158" s="38"/>
      <c r="CY158" s="55"/>
      <c r="CZ158" s="38"/>
      <c r="DA158" s="55"/>
      <c r="DB158" s="72">
        <v>22.168118683725794</v>
      </c>
      <c r="DC158" s="68" t="s">
        <v>208</v>
      </c>
      <c r="DD158" s="72">
        <v>19.794237504891154</v>
      </c>
      <c r="DE158" s="68"/>
      <c r="DF158" s="72">
        <v>14.397271799678581</v>
      </c>
      <c r="DG158" s="68"/>
    </row>
    <row r="159" spans="1:111" outlineLevel="1" x14ac:dyDescent="0.2">
      <c r="A159" s="30"/>
      <c r="B159" s="29"/>
      <c r="E159" s="66"/>
      <c r="G159" s="66"/>
      <c r="I159" s="82"/>
      <c r="K159" s="82"/>
      <c r="M159" s="130"/>
      <c r="O159" s="130"/>
      <c r="Q159" s="98"/>
      <c r="S159" s="98"/>
      <c r="U159" s="98"/>
      <c r="W159" s="114"/>
      <c r="Y159" s="114"/>
      <c r="AA159" s="114"/>
      <c r="AC159" s="150"/>
      <c r="AE159" s="150"/>
      <c r="AG159" s="150"/>
      <c r="AI159" s="150"/>
      <c r="AK159" s="167"/>
      <c r="AM159" s="167"/>
      <c r="AO159" s="54"/>
      <c r="AQ159" s="54"/>
      <c r="AS159" s="54"/>
      <c r="AU159" s="54"/>
      <c r="AW159" s="54"/>
      <c r="AY159" s="54"/>
      <c r="BA159" s="54"/>
      <c r="BC159" s="54"/>
      <c r="BE159" s="66"/>
      <c r="BG159" s="66"/>
      <c r="BI159" s="66"/>
      <c r="BK159" s="66"/>
      <c r="BM159" s="82"/>
      <c r="BO159" s="82"/>
      <c r="BQ159" s="98"/>
      <c r="BS159" s="98"/>
      <c r="BU159" s="114"/>
      <c r="BW159" s="114"/>
      <c r="BY159" s="54"/>
      <c r="CA159" s="54"/>
      <c r="CC159" s="54"/>
      <c r="CE159" s="54"/>
      <c r="CG159" s="54"/>
      <c r="CI159" s="54"/>
      <c r="CK159" s="54"/>
      <c r="CM159" s="150"/>
      <c r="CO159" s="150"/>
      <c r="CQ159" s="150"/>
      <c r="CS159" s="167"/>
      <c r="CU159" s="167"/>
      <c r="CW159" s="167"/>
      <c r="CY159" s="54"/>
      <c r="DA159" s="54"/>
      <c r="DC159" s="66"/>
      <c r="DE159" s="66"/>
      <c r="DG159" s="66"/>
    </row>
    <row r="160" spans="1:111" outlineLevel="1" x14ac:dyDescent="0.2">
      <c r="A160" s="30"/>
      <c r="B160" s="32" t="s">
        <v>95</v>
      </c>
      <c r="C160" s="38">
        <v>47.492515716517175</v>
      </c>
      <c r="D160" s="72">
        <v>0</v>
      </c>
      <c r="E160" s="68"/>
      <c r="F160" s="72">
        <v>47.492515716517175</v>
      </c>
      <c r="G160" s="68"/>
      <c r="H160" s="88">
        <v>19.981472928159594</v>
      </c>
      <c r="I160" s="84"/>
      <c r="J160" s="88">
        <v>52.652720859980597</v>
      </c>
      <c r="K160" s="84" t="s">
        <v>176</v>
      </c>
      <c r="L160" s="136"/>
      <c r="M160" s="132"/>
      <c r="N160" s="136"/>
      <c r="O160" s="132"/>
      <c r="P160" s="104">
        <v>37.266384523173386</v>
      </c>
      <c r="Q160" s="100"/>
      <c r="R160" s="104">
        <v>51.795852491515042</v>
      </c>
      <c r="S160" s="100" t="s">
        <v>180</v>
      </c>
      <c r="T160" s="104">
        <v>47.634318538827607</v>
      </c>
      <c r="U160" s="100" t="s">
        <v>180</v>
      </c>
      <c r="V160" s="120">
        <v>46.950575981122086</v>
      </c>
      <c r="W160" s="116"/>
      <c r="X160" s="120">
        <v>55.121143901370431</v>
      </c>
      <c r="Y160" s="116"/>
      <c r="Z160" s="120">
        <v>50.757552545714105</v>
      </c>
      <c r="AA160" s="116"/>
      <c r="AB160" s="156">
        <v>46.204098450217259</v>
      </c>
      <c r="AC160" s="152"/>
      <c r="AD160" s="156">
        <v>48.027807765000723</v>
      </c>
      <c r="AE160" s="152"/>
      <c r="AF160" s="156">
        <v>46.964186955508886</v>
      </c>
      <c r="AG160" s="152"/>
      <c r="AH160" s="156">
        <v>50.270964811376111</v>
      </c>
      <c r="AI160" s="152"/>
      <c r="AJ160" s="173">
        <v>40.569269909496796</v>
      </c>
      <c r="AK160" s="169"/>
      <c r="AL160" s="173">
        <v>52.475432682684328</v>
      </c>
      <c r="AM160" s="169" t="s">
        <v>186</v>
      </c>
      <c r="AN160" s="38"/>
      <c r="AO160" s="55"/>
      <c r="AP160" s="38"/>
      <c r="AQ160" s="55"/>
      <c r="AR160" s="38"/>
      <c r="AS160" s="55"/>
      <c r="AT160" s="38"/>
      <c r="AU160" s="55"/>
      <c r="AV160" s="38"/>
      <c r="AW160" s="55"/>
      <c r="AX160" s="38"/>
      <c r="AY160" s="55"/>
      <c r="AZ160" s="38"/>
      <c r="BA160" s="55"/>
      <c r="BB160" s="38"/>
      <c r="BC160" s="55"/>
      <c r="BD160" s="72">
        <v>49.446836815348803</v>
      </c>
      <c r="BE160" s="68"/>
      <c r="BF160" s="72">
        <v>47.244484419942232</v>
      </c>
      <c r="BG160" s="68"/>
      <c r="BH160" s="72">
        <v>48.244300391232329</v>
      </c>
      <c r="BI160" s="68"/>
      <c r="BJ160" s="72">
        <v>45.556022585861683</v>
      </c>
      <c r="BK160" s="68"/>
      <c r="BL160" s="88">
        <v>44.821221749444128</v>
      </c>
      <c r="BM160" s="84"/>
      <c r="BN160" s="88">
        <v>52.53330061550416</v>
      </c>
      <c r="BO160" s="84"/>
      <c r="BP160" s="104">
        <v>45.162306620536143</v>
      </c>
      <c r="BQ160" s="100"/>
      <c r="BR160" s="104">
        <v>49.776435544742078</v>
      </c>
      <c r="BS160" s="100"/>
      <c r="BT160" s="120">
        <v>47.299008578951231</v>
      </c>
      <c r="BU160" s="116"/>
      <c r="BV160" s="120">
        <v>47.695289275642473</v>
      </c>
      <c r="BW160" s="116"/>
      <c r="BX160" s="38"/>
      <c r="BY160" s="55"/>
      <c r="BZ160" s="38"/>
      <c r="CA160" s="55"/>
      <c r="CB160" s="38"/>
      <c r="CC160" s="55"/>
      <c r="CD160" s="38"/>
      <c r="CE160" s="55"/>
      <c r="CF160" s="38"/>
      <c r="CG160" s="55"/>
      <c r="CH160" s="38"/>
      <c r="CI160" s="55"/>
      <c r="CJ160" s="38"/>
      <c r="CK160" s="55"/>
      <c r="CL160" s="156">
        <v>48.440704562302834</v>
      </c>
      <c r="CM160" s="152"/>
      <c r="CN160" s="156">
        <v>48.348476589665999</v>
      </c>
      <c r="CO160" s="152"/>
      <c r="CP160" s="156">
        <v>44.108177777385428</v>
      </c>
      <c r="CQ160" s="152"/>
      <c r="CR160" s="173">
        <v>37.266384523173386</v>
      </c>
      <c r="CS160" s="169"/>
      <c r="CT160" s="173">
        <v>47.634318538827607</v>
      </c>
      <c r="CU160" s="169" t="s">
        <v>48</v>
      </c>
      <c r="CV160" s="173">
        <v>51.795852491515042</v>
      </c>
      <c r="CW160" s="169" t="s">
        <v>48</v>
      </c>
      <c r="CX160" s="38"/>
      <c r="CY160" s="55"/>
      <c r="CZ160" s="38"/>
      <c r="DA160" s="55"/>
      <c r="DB160" s="72">
        <v>43.554537760740779</v>
      </c>
      <c r="DC160" s="68"/>
      <c r="DD160" s="72">
        <v>48.076177933022208</v>
      </c>
      <c r="DE160" s="68"/>
      <c r="DF160" s="72">
        <v>50.295035324898663</v>
      </c>
      <c r="DG160" s="68"/>
    </row>
    <row r="161" spans="1:111" outlineLevel="1" x14ac:dyDescent="0.2">
      <c r="A161" s="30"/>
      <c r="B161" s="29"/>
      <c r="E161" s="66"/>
      <c r="G161" s="66"/>
      <c r="I161" s="82"/>
      <c r="K161" s="82"/>
      <c r="M161" s="130"/>
      <c r="O161" s="130"/>
      <c r="Q161" s="98"/>
      <c r="S161" s="98"/>
      <c r="U161" s="98"/>
      <c r="W161" s="114"/>
      <c r="Y161" s="114"/>
      <c r="AA161" s="114"/>
      <c r="AC161" s="150"/>
      <c r="AE161" s="150"/>
      <c r="AG161" s="150"/>
      <c r="AI161" s="150"/>
      <c r="AK161" s="167"/>
      <c r="AM161" s="167"/>
      <c r="AO161" s="54"/>
      <c r="AQ161" s="54"/>
      <c r="AS161" s="54"/>
      <c r="AU161" s="54"/>
      <c r="AW161" s="54"/>
      <c r="AY161" s="54"/>
      <c r="BA161" s="54"/>
      <c r="BC161" s="54"/>
      <c r="BE161" s="66"/>
      <c r="BG161" s="66"/>
      <c r="BI161" s="66"/>
      <c r="BK161" s="66"/>
      <c r="BM161" s="82"/>
      <c r="BO161" s="82"/>
      <c r="BQ161" s="98"/>
      <c r="BS161" s="98"/>
      <c r="BU161" s="114"/>
      <c r="BW161" s="114"/>
      <c r="BY161" s="54"/>
      <c r="CA161" s="54"/>
      <c r="CC161" s="54"/>
      <c r="CE161" s="54"/>
      <c r="CG161" s="54"/>
      <c r="CI161" s="54"/>
      <c r="CK161" s="54"/>
      <c r="CM161" s="150"/>
      <c r="CO161" s="150"/>
      <c r="CQ161" s="150"/>
      <c r="CS161" s="167"/>
      <c r="CU161" s="167"/>
      <c r="CW161" s="167"/>
      <c r="CY161" s="54"/>
      <c r="DA161" s="54"/>
      <c r="DC161" s="66"/>
      <c r="DE161" s="66"/>
      <c r="DG161" s="66"/>
    </row>
    <row r="162" spans="1:111" outlineLevel="1" x14ac:dyDescent="0.2">
      <c r="A162" s="30"/>
      <c r="B162" s="29" t="s">
        <v>96</v>
      </c>
      <c r="C162" s="36">
        <v>23.00985818864083</v>
      </c>
      <c r="D162" s="71">
        <v>0</v>
      </c>
      <c r="E162" s="68"/>
      <c r="F162" s="71">
        <v>23.00985818864083</v>
      </c>
      <c r="G162" s="68"/>
      <c r="H162" s="87">
        <v>3.1814321028659012</v>
      </c>
      <c r="I162" s="84"/>
      <c r="J162" s="87">
        <v>26.72904640923058</v>
      </c>
      <c r="K162" s="84" t="s">
        <v>176</v>
      </c>
      <c r="L162" s="135"/>
      <c r="M162" s="132"/>
      <c r="N162" s="135"/>
      <c r="O162" s="132"/>
      <c r="P162" s="103">
        <v>16.948683609829526</v>
      </c>
      <c r="Q162" s="100"/>
      <c r="R162" s="103">
        <v>21.514785099691739</v>
      </c>
      <c r="S162" s="100"/>
      <c r="T162" s="103">
        <v>32.446232975305136</v>
      </c>
      <c r="U162" s="100" t="s">
        <v>254</v>
      </c>
      <c r="V162" s="119">
        <v>23.282580427550457</v>
      </c>
      <c r="W162" s="116"/>
      <c r="X162" s="119">
        <v>23.544189569087127</v>
      </c>
      <c r="Y162" s="116"/>
      <c r="Z162" s="119">
        <v>34.41503441248976</v>
      </c>
      <c r="AA162" s="116" t="s">
        <v>257</v>
      </c>
      <c r="AB162" s="155">
        <v>20.823223107199606</v>
      </c>
      <c r="AC162" s="152"/>
      <c r="AD162" s="155">
        <v>23.989427536287593</v>
      </c>
      <c r="AE162" s="152"/>
      <c r="AF162" s="155">
        <v>22.034829648413673</v>
      </c>
      <c r="AG162" s="152"/>
      <c r="AH162" s="155">
        <v>27.366079032980533</v>
      </c>
      <c r="AI162" s="152"/>
      <c r="AJ162" s="172">
        <v>25.225278746338383</v>
      </c>
      <c r="AK162" s="169"/>
      <c r="AL162" s="172">
        <v>21.415337787104239</v>
      </c>
      <c r="AM162" s="169"/>
      <c r="AN162" s="36"/>
      <c r="AO162" s="55"/>
      <c r="AP162" s="36"/>
      <c r="AQ162" s="55"/>
      <c r="AR162" s="36"/>
      <c r="AS162" s="55"/>
      <c r="AT162" s="36"/>
      <c r="AU162" s="55"/>
      <c r="AV162" s="36"/>
      <c r="AW162" s="55"/>
      <c r="AX162" s="36"/>
      <c r="AY162" s="55"/>
      <c r="AZ162" s="36"/>
      <c r="BA162" s="55"/>
      <c r="BB162" s="36"/>
      <c r="BC162" s="55"/>
      <c r="BD162" s="71">
        <v>21.352003904579675</v>
      </c>
      <c r="BE162" s="68"/>
      <c r="BF162" s="71">
        <v>22.945239603602726</v>
      </c>
      <c r="BG162" s="68"/>
      <c r="BH162" s="71">
        <v>23.393778465932545</v>
      </c>
      <c r="BI162" s="68"/>
      <c r="BJ162" s="71">
        <v>24.014422263955868</v>
      </c>
      <c r="BK162" s="68"/>
      <c r="BL162" s="87">
        <v>25.8951742126829</v>
      </c>
      <c r="BM162" s="84" t="s">
        <v>196</v>
      </c>
      <c r="BN162" s="87">
        <v>17.639326830664785</v>
      </c>
      <c r="BO162" s="84"/>
      <c r="BP162" s="103">
        <v>27.940547689605268</v>
      </c>
      <c r="BQ162" s="100" t="s">
        <v>198</v>
      </c>
      <c r="BR162" s="103">
        <v>19.055755237948553</v>
      </c>
      <c r="BS162" s="100"/>
      <c r="BT162" s="119">
        <v>20.929607136656447</v>
      </c>
      <c r="BU162" s="116"/>
      <c r="BV162" s="119">
        <v>23.735382812922261</v>
      </c>
      <c r="BW162" s="116"/>
      <c r="BX162" s="36"/>
      <c r="BY162" s="55"/>
      <c r="BZ162" s="36"/>
      <c r="CA162" s="55"/>
      <c r="CB162" s="36"/>
      <c r="CC162" s="55"/>
      <c r="CD162" s="36"/>
      <c r="CE162" s="55"/>
      <c r="CF162" s="36"/>
      <c r="CG162" s="55"/>
      <c r="CH162" s="36"/>
      <c r="CI162" s="55"/>
      <c r="CJ162" s="36"/>
      <c r="CK162" s="55"/>
      <c r="CL162" s="155">
        <v>22.764021829707392</v>
      </c>
      <c r="CM162" s="152"/>
      <c r="CN162" s="155">
        <v>23.707760840554105</v>
      </c>
      <c r="CO162" s="152"/>
      <c r="CP162" s="155">
        <v>21.895891910502179</v>
      </c>
      <c r="CQ162" s="152"/>
      <c r="CR162" s="172">
        <v>16.948683609829526</v>
      </c>
      <c r="CS162" s="169"/>
      <c r="CT162" s="172">
        <v>32.446232975305136</v>
      </c>
      <c r="CU162" s="169" t="s">
        <v>255</v>
      </c>
      <c r="CV162" s="172">
        <v>21.514785099691739</v>
      </c>
      <c r="CW162" s="169"/>
      <c r="CX162" s="36"/>
      <c r="CY162" s="55"/>
      <c r="CZ162" s="36"/>
      <c r="DA162" s="55"/>
      <c r="DB162" s="71">
        <v>17.309254741872852</v>
      </c>
      <c r="DC162" s="68"/>
      <c r="DD162" s="71">
        <v>22.861746563467296</v>
      </c>
      <c r="DE162" s="68"/>
      <c r="DF162" s="71">
        <v>28.50665812989304</v>
      </c>
      <c r="DG162" s="68" t="s">
        <v>206</v>
      </c>
    </row>
    <row r="163" spans="1:111" outlineLevel="1" x14ac:dyDescent="0.2">
      <c r="A163" s="30"/>
      <c r="B163" s="37" t="s">
        <v>97</v>
      </c>
      <c r="C163" s="38">
        <v>6.727958966153853</v>
      </c>
      <c r="D163" s="72">
        <v>0</v>
      </c>
      <c r="E163" s="68"/>
      <c r="F163" s="72">
        <v>6.727958966153853</v>
      </c>
      <c r="G163" s="68"/>
      <c r="H163" s="88">
        <v>3.1814321028659012</v>
      </c>
      <c r="I163" s="84"/>
      <c r="J163" s="88">
        <v>7.3931757048343085</v>
      </c>
      <c r="K163" s="84"/>
      <c r="L163" s="136"/>
      <c r="M163" s="132"/>
      <c r="N163" s="136"/>
      <c r="O163" s="132"/>
      <c r="P163" s="104">
        <v>6.9273852245774252</v>
      </c>
      <c r="Q163" s="100"/>
      <c r="R163" s="104">
        <v>5.2529398943402486</v>
      </c>
      <c r="S163" s="100"/>
      <c r="T163" s="104">
        <v>8.675952600389909</v>
      </c>
      <c r="U163" s="100"/>
      <c r="V163" s="120">
        <v>9.1503132376275982</v>
      </c>
      <c r="W163" s="116"/>
      <c r="X163" s="120">
        <v>4.9161412054527096</v>
      </c>
      <c r="Y163" s="116"/>
      <c r="Z163" s="120">
        <v>8.8595348276830865</v>
      </c>
      <c r="AA163" s="116"/>
      <c r="AB163" s="156">
        <v>8.0645308798917181</v>
      </c>
      <c r="AC163" s="152"/>
      <c r="AD163" s="156">
        <v>6.5223765694787792</v>
      </c>
      <c r="AE163" s="152"/>
      <c r="AF163" s="156">
        <v>6.9249400270656212</v>
      </c>
      <c r="AG163" s="152"/>
      <c r="AH163" s="156">
        <v>1.9973797271635654</v>
      </c>
      <c r="AI163" s="152"/>
      <c r="AJ163" s="173">
        <v>7.6730564465007447</v>
      </c>
      <c r="AK163" s="169"/>
      <c r="AL163" s="173">
        <v>6.047737231902131</v>
      </c>
      <c r="AM163" s="169"/>
      <c r="AN163" s="38"/>
      <c r="AO163" s="55"/>
      <c r="AP163" s="38"/>
      <c r="AQ163" s="55"/>
      <c r="AR163" s="38"/>
      <c r="AS163" s="55"/>
      <c r="AT163" s="38"/>
      <c r="AU163" s="55"/>
      <c r="AV163" s="38"/>
      <c r="AW163" s="55"/>
      <c r="AX163" s="38"/>
      <c r="AY163" s="55"/>
      <c r="AZ163" s="38"/>
      <c r="BA163" s="55"/>
      <c r="BB163" s="38"/>
      <c r="BC163" s="55"/>
      <c r="BD163" s="72">
        <v>9.7151470912177196</v>
      </c>
      <c r="BE163" s="68"/>
      <c r="BF163" s="72">
        <v>6.3458288608060647</v>
      </c>
      <c r="BG163" s="68"/>
      <c r="BH163" s="72">
        <v>4.6440521417357497</v>
      </c>
      <c r="BI163" s="68"/>
      <c r="BJ163" s="72">
        <v>7.5961904130871556</v>
      </c>
      <c r="BK163" s="68"/>
      <c r="BL163" s="88">
        <v>7.4700119182551035</v>
      </c>
      <c r="BM163" s="84"/>
      <c r="BN163" s="88">
        <v>5.4252704333067499</v>
      </c>
      <c r="BO163" s="84"/>
      <c r="BP163" s="104">
        <v>9.4711813885065048</v>
      </c>
      <c r="BQ163" s="100" t="s">
        <v>198</v>
      </c>
      <c r="BR163" s="104">
        <v>4.2228441089342406</v>
      </c>
      <c r="BS163" s="100"/>
      <c r="BT163" s="120">
        <v>5.9509426464981656</v>
      </c>
      <c r="BU163" s="116"/>
      <c r="BV163" s="120">
        <v>6.7039157210668723</v>
      </c>
      <c r="BW163" s="116"/>
      <c r="BX163" s="38"/>
      <c r="BY163" s="55"/>
      <c r="BZ163" s="38"/>
      <c r="CA163" s="55"/>
      <c r="CB163" s="38"/>
      <c r="CC163" s="55"/>
      <c r="CD163" s="38"/>
      <c r="CE163" s="55"/>
      <c r="CF163" s="38"/>
      <c r="CG163" s="55"/>
      <c r="CH163" s="38"/>
      <c r="CI163" s="55"/>
      <c r="CJ163" s="38"/>
      <c r="CK163" s="55"/>
      <c r="CL163" s="156">
        <v>5.6946545903266115</v>
      </c>
      <c r="CM163" s="152"/>
      <c r="CN163" s="156">
        <v>10.5096329154371</v>
      </c>
      <c r="CO163" s="152"/>
      <c r="CP163" s="156">
        <v>6.1107996804279798</v>
      </c>
      <c r="CQ163" s="152"/>
      <c r="CR163" s="173">
        <v>6.9273852245774252</v>
      </c>
      <c r="CS163" s="169"/>
      <c r="CT163" s="173">
        <v>8.675952600389909</v>
      </c>
      <c r="CU163" s="169"/>
      <c r="CV163" s="173">
        <v>5.2529398943402486</v>
      </c>
      <c r="CW163" s="169"/>
      <c r="CX163" s="38"/>
      <c r="CY163" s="55"/>
      <c r="CZ163" s="38"/>
      <c r="DA163" s="55"/>
      <c r="DB163" s="72">
        <v>5.2554886244834966</v>
      </c>
      <c r="DC163" s="68"/>
      <c r="DD163" s="72">
        <v>6.8721110379426298</v>
      </c>
      <c r="DE163" s="68"/>
      <c r="DF163" s="72">
        <v>7.8832922178205767</v>
      </c>
      <c r="DG163" s="68"/>
    </row>
    <row r="164" spans="1:111" outlineLevel="1" x14ac:dyDescent="0.2">
      <c r="A164" s="30"/>
      <c r="B164" s="37" t="s">
        <v>98</v>
      </c>
      <c r="C164" s="38">
        <v>16.281899222486977</v>
      </c>
      <c r="D164" s="72">
        <v>0</v>
      </c>
      <c r="E164" s="68"/>
      <c r="F164" s="72">
        <v>16.281899222486977</v>
      </c>
      <c r="G164" s="68"/>
      <c r="H164" s="88">
        <v>0</v>
      </c>
      <c r="I164" s="84"/>
      <c r="J164" s="88">
        <v>19.335870704396271</v>
      </c>
      <c r="K164" s="84" t="s">
        <v>176</v>
      </c>
      <c r="L164" s="136"/>
      <c r="M164" s="132"/>
      <c r="N164" s="136"/>
      <c r="O164" s="132"/>
      <c r="P164" s="104">
        <v>10.021298385252102</v>
      </c>
      <c r="Q164" s="100"/>
      <c r="R164" s="104">
        <v>16.261845205351488</v>
      </c>
      <c r="S164" s="100"/>
      <c r="T164" s="104">
        <v>23.770280374915227</v>
      </c>
      <c r="U164" s="100" t="s">
        <v>180</v>
      </c>
      <c r="V164" s="120">
        <v>14.132267189922857</v>
      </c>
      <c r="W164" s="116"/>
      <c r="X164" s="120">
        <v>18.62804836363442</v>
      </c>
      <c r="Y164" s="116"/>
      <c r="Z164" s="120">
        <v>25.555499584806675</v>
      </c>
      <c r="AA164" s="116" t="s">
        <v>183</v>
      </c>
      <c r="AB164" s="156">
        <v>12.758692227307888</v>
      </c>
      <c r="AC164" s="152"/>
      <c r="AD164" s="156">
        <v>17.467050966808813</v>
      </c>
      <c r="AE164" s="152"/>
      <c r="AF164" s="156">
        <v>15.109889621348053</v>
      </c>
      <c r="AG164" s="152"/>
      <c r="AH164" s="156">
        <v>25.368699305816968</v>
      </c>
      <c r="AI164" s="152" t="s">
        <v>170</v>
      </c>
      <c r="AJ164" s="173">
        <v>17.552222299837638</v>
      </c>
      <c r="AK164" s="169"/>
      <c r="AL164" s="173">
        <v>15.367600555202106</v>
      </c>
      <c r="AM164" s="169"/>
      <c r="AN164" s="38"/>
      <c r="AO164" s="55"/>
      <c r="AP164" s="38"/>
      <c r="AQ164" s="55"/>
      <c r="AR164" s="38"/>
      <c r="AS164" s="55"/>
      <c r="AT164" s="38"/>
      <c r="AU164" s="55"/>
      <c r="AV164" s="38"/>
      <c r="AW164" s="55"/>
      <c r="AX164" s="38"/>
      <c r="AY164" s="55"/>
      <c r="AZ164" s="38"/>
      <c r="BA164" s="55"/>
      <c r="BB164" s="38"/>
      <c r="BC164" s="55"/>
      <c r="BD164" s="72">
        <v>11.636856813361955</v>
      </c>
      <c r="BE164" s="68"/>
      <c r="BF164" s="72">
        <v>16.59941074279666</v>
      </c>
      <c r="BG164" s="68"/>
      <c r="BH164" s="72">
        <v>18.749726324196793</v>
      </c>
      <c r="BI164" s="68"/>
      <c r="BJ164" s="72">
        <v>16.418231850868711</v>
      </c>
      <c r="BK164" s="68"/>
      <c r="BL164" s="88">
        <v>18.425162294427796</v>
      </c>
      <c r="BM164" s="84" t="s">
        <v>196</v>
      </c>
      <c r="BN164" s="88">
        <v>12.214056397358036</v>
      </c>
      <c r="BO164" s="84"/>
      <c r="BP164" s="104">
        <v>18.469366301098763</v>
      </c>
      <c r="BQ164" s="100"/>
      <c r="BR164" s="104">
        <v>14.832911129014313</v>
      </c>
      <c r="BS164" s="100"/>
      <c r="BT164" s="120">
        <v>14.978664490158279</v>
      </c>
      <c r="BU164" s="116"/>
      <c r="BV164" s="120">
        <v>17.03146709185539</v>
      </c>
      <c r="BW164" s="116"/>
      <c r="BX164" s="38"/>
      <c r="BY164" s="55"/>
      <c r="BZ164" s="38"/>
      <c r="CA164" s="55"/>
      <c r="CB164" s="38"/>
      <c r="CC164" s="55"/>
      <c r="CD164" s="38"/>
      <c r="CE164" s="55"/>
      <c r="CF164" s="38"/>
      <c r="CG164" s="55"/>
      <c r="CH164" s="38"/>
      <c r="CI164" s="55"/>
      <c r="CJ164" s="38"/>
      <c r="CK164" s="55"/>
      <c r="CL164" s="156">
        <v>17.069367239380782</v>
      </c>
      <c r="CM164" s="152"/>
      <c r="CN164" s="156">
        <v>13.198127925117005</v>
      </c>
      <c r="CO164" s="152"/>
      <c r="CP164" s="156">
        <v>15.7850922300742</v>
      </c>
      <c r="CQ164" s="152"/>
      <c r="CR164" s="173">
        <v>10.021298385252102</v>
      </c>
      <c r="CS164" s="169"/>
      <c r="CT164" s="173">
        <v>23.770280374915227</v>
      </c>
      <c r="CU164" s="169" t="s">
        <v>48</v>
      </c>
      <c r="CV164" s="173">
        <v>16.261845205351488</v>
      </c>
      <c r="CW164" s="169"/>
      <c r="CX164" s="38"/>
      <c r="CY164" s="55"/>
      <c r="CZ164" s="38"/>
      <c r="DA164" s="55"/>
      <c r="DB164" s="72">
        <v>12.053766117389356</v>
      </c>
      <c r="DC164" s="68"/>
      <c r="DD164" s="72">
        <v>15.989635525524665</v>
      </c>
      <c r="DE164" s="68"/>
      <c r="DF164" s="72">
        <v>20.623365912072462</v>
      </c>
      <c r="DG164" s="68" t="s">
        <v>206</v>
      </c>
    </row>
    <row r="165" spans="1:111" outlineLevel="1" x14ac:dyDescent="0.2">
      <c r="A165" s="30"/>
      <c r="B165" s="29"/>
      <c r="E165" s="66"/>
      <c r="G165" s="66"/>
      <c r="I165" s="82"/>
      <c r="K165" s="82"/>
      <c r="M165" s="130"/>
      <c r="O165" s="130"/>
      <c r="Q165" s="98"/>
      <c r="S165" s="98"/>
      <c r="U165" s="98"/>
      <c r="W165" s="114"/>
      <c r="Y165" s="114"/>
      <c r="AA165" s="114"/>
      <c r="AC165" s="150"/>
      <c r="AE165" s="150"/>
      <c r="AG165" s="150"/>
      <c r="AI165" s="150"/>
      <c r="AK165" s="167"/>
      <c r="AM165" s="167"/>
      <c r="AO165" s="54"/>
      <c r="AQ165" s="54"/>
      <c r="AS165" s="54"/>
      <c r="AU165" s="54"/>
      <c r="AW165" s="54"/>
      <c r="AY165" s="54"/>
      <c r="BA165" s="54"/>
      <c r="BC165" s="54"/>
      <c r="BE165" s="66"/>
      <c r="BG165" s="66"/>
      <c r="BI165" s="66"/>
      <c r="BK165" s="66"/>
      <c r="BM165" s="82"/>
      <c r="BO165" s="82"/>
      <c r="BQ165" s="98"/>
      <c r="BS165" s="98"/>
      <c r="BU165" s="114"/>
      <c r="BW165" s="114"/>
      <c r="BY165" s="54"/>
      <c r="CA165" s="54"/>
      <c r="CC165" s="54"/>
      <c r="CE165" s="54"/>
      <c r="CG165" s="54"/>
      <c r="CI165" s="54"/>
      <c r="CK165" s="54"/>
      <c r="CM165" s="150"/>
      <c r="CO165" s="150"/>
      <c r="CQ165" s="150"/>
      <c r="CS165" s="167"/>
      <c r="CU165" s="167"/>
      <c r="CW165" s="167"/>
      <c r="CY165" s="54"/>
      <c r="DA165" s="54"/>
      <c r="DC165" s="66"/>
      <c r="DE165" s="66"/>
      <c r="DG165" s="66"/>
    </row>
    <row r="166" spans="1:111" x14ac:dyDescent="0.2">
      <c r="A166" s="30"/>
      <c r="B166" s="30"/>
      <c r="E166" s="66"/>
      <c r="G166" s="66"/>
      <c r="I166" s="82"/>
      <c r="K166" s="82"/>
      <c r="M166" s="130"/>
      <c r="O166" s="130"/>
      <c r="Q166" s="98"/>
      <c r="S166" s="98"/>
      <c r="U166" s="98"/>
      <c r="W166" s="114"/>
      <c r="Y166" s="114"/>
      <c r="AA166" s="114"/>
      <c r="AC166" s="150"/>
      <c r="AE166" s="150"/>
      <c r="AG166" s="150"/>
      <c r="AI166" s="150"/>
      <c r="AK166" s="167"/>
      <c r="AM166" s="167"/>
      <c r="AO166" s="54"/>
      <c r="AQ166" s="54"/>
      <c r="AS166" s="54"/>
      <c r="AU166" s="54"/>
      <c r="AW166" s="54"/>
      <c r="AY166" s="54"/>
      <c r="BA166" s="54"/>
      <c r="BC166" s="54"/>
      <c r="BE166" s="66"/>
      <c r="BG166" s="66"/>
      <c r="BI166" s="66"/>
      <c r="BK166" s="66"/>
      <c r="BM166" s="82"/>
      <c r="BO166" s="82"/>
      <c r="BQ166" s="98"/>
      <c r="BS166" s="98"/>
      <c r="BU166" s="114"/>
      <c r="BW166" s="114"/>
      <c r="BY166" s="54"/>
      <c r="CA166" s="54"/>
      <c r="CC166" s="54"/>
      <c r="CE166" s="54"/>
      <c r="CG166" s="54"/>
      <c r="CI166" s="54"/>
      <c r="CK166" s="54"/>
      <c r="CM166" s="150"/>
      <c r="CO166" s="150"/>
      <c r="CQ166" s="150"/>
      <c r="CS166" s="167"/>
      <c r="CU166" s="167"/>
      <c r="CW166" s="167"/>
      <c r="CY166" s="54"/>
      <c r="DA166" s="54"/>
      <c r="DC166" s="66"/>
      <c r="DE166" s="66"/>
      <c r="DG166" s="66"/>
    </row>
    <row r="167" spans="1:111" x14ac:dyDescent="0.2">
      <c r="A167" s="28" t="s">
        <v>146</v>
      </c>
      <c r="B167" s="29" t="s">
        <v>147</v>
      </c>
      <c r="E167" s="66"/>
      <c r="G167" s="66"/>
      <c r="I167" s="82"/>
      <c r="K167" s="82"/>
      <c r="M167" s="130"/>
      <c r="O167" s="130"/>
      <c r="Q167" s="98"/>
      <c r="S167" s="98"/>
      <c r="U167" s="98"/>
      <c r="W167" s="114"/>
      <c r="Y167" s="114"/>
      <c r="AA167" s="114"/>
      <c r="AC167" s="150"/>
      <c r="AE167" s="150"/>
      <c r="AG167" s="150"/>
      <c r="AI167" s="150"/>
      <c r="AK167" s="167"/>
      <c r="AM167" s="167"/>
      <c r="AO167" s="54"/>
      <c r="AQ167" s="54"/>
      <c r="AS167" s="54"/>
      <c r="AU167" s="54"/>
      <c r="AW167" s="54"/>
      <c r="AY167" s="54"/>
      <c r="BA167" s="54"/>
      <c r="BC167" s="54"/>
      <c r="BE167" s="66"/>
      <c r="BG167" s="66"/>
      <c r="BI167" s="66"/>
      <c r="BK167" s="66"/>
      <c r="BM167" s="82"/>
      <c r="BO167" s="82"/>
      <c r="BQ167" s="98"/>
      <c r="BS167" s="98"/>
      <c r="BU167" s="114"/>
      <c r="BW167" s="114"/>
      <c r="BY167" s="54"/>
      <c r="CA167" s="54"/>
      <c r="CC167" s="54"/>
      <c r="CE167" s="54"/>
      <c r="CG167" s="54"/>
      <c r="CI167" s="54"/>
      <c r="CK167" s="54"/>
      <c r="CM167" s="150"/>
      <c r="CO167" s="150"/>
      <c r="CQ167" s="150"/>
      <c r="CS167" s="167"/>
      <c r="CU167" s="167"/>
      <c r="CW167" s="167"/>
      <c r="CY167" s="54"/>
      <c r="DA167" s="54"/>
      <c r="DC167" s="66"/>
      <c r="DE167" s="66"/>
      <c r="DG167" s="66"/>
    </row>
    <row r="168" spans="1:111" outlineLevel="1" x14ac:dyDescent="0.2">
      <c r="A168" s="30"/>
      <c r="B168" s="32" t="s">
        <v>55</v>
      </c>
      <c r="C168" s="31">
        <f>1883.05224610559+89.9477538944136</f>
        <v>1973.0000000000036</v>
      </c>
      <c r="D168" s="67">
        <f>1186.40754506923+54.5924549307656</f>
        <v>1240.9999999999957</v>
      </c>
      <c r="E168" s="68"/>
      <c r="F168" s="67">
        <f>697.229271339924+34.7707286600755</f>
        <v>731.99999999999955</v>
      </c>
      <c r="G168" s="68"/>
      <c r="H168" s="83">
        <f>1294.51472390475+61.4852760952508</f>
        <v>1356.0000000000009</v>
      </c>
      <c r="I168" s="84"/>
      <c r="J168" s="83">
        <f>588.872678023413+28.1273219765872</f>
        <v>617.00000000000011</v>
      </c>
      <c r="K168" s="84"/>
      <c r="L168" s="131"/>
      <c r="M168" s="132"/>
      <c r="N168" s="131"/>
      <c r="O168" s="132"/>
      <c r="P168" s="99">
        <f>197.775455801689+12.2245441983108</f>
        <v>209.9999999999998</v>
      </c>
      <c r="Q168" s="100"/>
      <c r="R168" s="99">
        <f>183.624369897672+9.37563010232844</f>
        <v>193.00000000000045</v>
      </c>
      <c r="S168" s="100"/>
      <c r="T168" s="99">
        <f>202.167219603481+6.83278039651879</f>
        <v>208.99999999999977</v>
      </c>
      <c r="U168" s="100"/>
      <c r="V168" s="115">
        <f>142.903095748811+7.09690425118887</f>
        <v>149.99999999999989</v>
      </c>
      <c r="W168" s="116"/>
      <c r="X168" s="115">
        <f>159.312800786456+8.68719921354355</f>
        <v>167.99999999999955</v>
      </c>
      <c r="Y168" s="116"/>
      <c r="Z168" s="115">
        <f>187.399553476067+6.60044652393256</f>
        <v>193.99999999999957</v>
      </c>
      <c r="AA168" s="116"/>
      <c r="AB168" s="151">
        <f>418.260207692397+16.7397923076035</f>
        <v>435.00000000000051</v>
      </c>
      <c r="AC168" s="152"/>
      <c r="AD168" s="151">
        <f>738.006659532827+36.9933404671731</f>
        <v>775.00000000000011</v>
      </c>
      <c r="AE168" s="152"/>
      <c r="AF168" s="151">
        <f>311.253904538341+10.7460954616589</f>
        <v>321.99999999999989</v>
      </c>
      <c r="AG168" s="152"/>
      <c r="AH168" s="151">
        <f>431.026863681208+9.97313631879211</f>
        <v>441.00000000000011</v>
      </c>
      <c r="AI168" s="152"/>
      <c r="AJ168" s="168">
        <f>923.333460709361+44.6665392906394</f>
        <v>968.00000000000045</v>
      </c>
      <c r="AK168" s="169"/>
      <c r="AL168" s="168">
        <f>959.799270076854+45.2007299231459</f>
        <v>1004.9999999999999</v>
      </c>
      <c r="AM168" s="169"/>
      <c r="AN168" s="31"/>
      <c r="AO168" s="55"/>
      <c r="AP168" s="31"/>
      <c r="AQ168" s="55"/>
      <c r="AR168" s="31"/>
      <c r="AS168" s="55"/>
      <c r="AT168" s="31"/>
      <c r="AU168" s="55"/>
      <c r="AV168" s="31"/>
      <c r="AW168" s="55"/>
      <c r="AX168" s="31"/>
      <c r="AY168" s="55"/>
      <c r="AZ168" s="31"/>
      <c r="BA168" s="55"/>
      <c r="BB168" s="31"/>
      <c r="BC168" s="55"/>
      <c r="BD168" s="67">
        <f>379.857824097321+11.1421759026792</f>
        <v>391.00000000000017</v>
      </c>
      <c r="BE168" s="68"/>
      <c r="BF168" s="67">
        <f>745.998424961336+22.0015750386635</f>
        <v>767.99999999999955</v>
      </c>
      <c r="BG168" s="68"/>
      <c r="BH168" s="67">
        <f>409.189427060892+14.8105729391077</f>
        <v>423.99999999999972</v>
      </c>
      <c r="BI168" s="68"/>
      <c r="BJ168" s="67">
        <f>363.70066322202+26.2993367779799</f>
        <v>389.99999999999989</v>
      </c>
      <c r="BK168" s="68"/>
      <c r="BL168" s="83">
        <f>896.282615300541+41.7173846994588</f>
        <v>937.99999999999977</v>
      </c>
      <c r="BM168" s="84"/>
      <c r="BN168" s="83">
        <f>918.786185024919+45.2138149750814</f>
        <v>964.00000000000034</v>
      </c>
      <c r="BO168" s="84"/>
      <c r="BP168" s="99">
        <f>566.54488221061+21.4551177893895</f>
        <v>587.99999999999955</v>
      </c>
      <c r="BQ168" s="100"/>
      <c r="BR168" s="99">
        <f>1309.85022189589+68.1497781041148</f>
        <v>1378.0000000000048</v>
      </c>
      <c r="BS168" s="100"/>
      <c r="BT168" s="115">
        <f>801.597409190903+42.4025908090973</f>
        <v>844.00000000000034</v>
      </c>
      <c r="BU168" s="116"/>
      <c r="BV168" s="115">
        <f>1073.89067127574+47.109328724262</f>
        <v>1121.000000000002</v>
      </c>
      <c r="BW168" s="116"/>
      <c r="BX168" s="31"/>
      <c r="BY168" s="55"/>
      <c r="BZ168" s="31"/>
      <c r="CA168" s="55"/>
      <c r="CB168" s="31"/>
      <c r="CC168" s="55"/>
      <c r="CD168" s="31"/>
      <c r="CE168" s="55"/>
      <c r="CF168" s="31"/>
      <c r="CG168" s="55"/>
      <c r="CH168" s="31"/>
      <c r="CI168" s="55"/>
      <c r="CJ168" s="31"/>
      <c r="CK168" s="55"/>
      <c r="CL168" s="151">
        <f>1355.82509014005+57.1749098599505</f>
        <v>1413.0000000000005</v>
      </c>
      <c r="CM168" s="152"/>
      <c r="CN168" s="151">
        <f>292.487931587065+18.5120684129348</f>
        <v>310.99999999999983</v>
      </c>
      <c r="CO168" s="152"/>
      <c r="CP168" s="151">
        <f>266.807630662101+20.192369337899</f>
        <v>287</v>
      </c>
      <c r="CQ168" s="152"/>
      <c r="CR168" s="168">
        <f>771.339198902703+38.6608010972968</f>
        <v>809.99999999999977</v>
      </c>
      <c r="CS168" s="169"/>
      <c r="CT168" s="168">
        <f>498.353180029268+21.6468199707316</f>
        <v>519.99999999999955</v>
      </c>
      <c r="CU168" s="169"/>
      <c r="CV168" s="168">
        <f>425.648257709813+20.3517422901865</f>
        <v>445.99999999999949</v>
      </c>
      <c r="CW168" s="169"/>
      <c r="CX168" s="31"/>
      <c r="CY168" s="55"/>
      <c r="CZ168" s="31"/>
      <c r="DA168" s="55"/>
      <c r="DB168" s="67">
        <f>562.90176025743+31.0982397425698</f>
        <v>593.99999999999989</v>
      </c>
      <c r="DC168" s="68"/>
      <c r="DD168" s="67">
        <f>923.018785397321+40.9812146026794</f>
        <v>964.00000000000045</v>
      </c>
      <c r="DE168" s="68"/>
      <c r="DF168" s="67">
        <f>397.90956414565+17.0904358543499</f>
        <v>414.99999999999989</v>
      </c>
      <c r="DG168" s="68"/>
    </row>
    <row r="169" spans="1:111" s="35" customFormat="1" outlineLevel="1" x14ac:dyDescent="0.2">
      <c r="A169" s="30"/>
      <c r="B169" s="33"/>
      <c r="C169" s="34" t="s">
        <v>167</v>
      </c>
      <c r="D169" s="69" t="s">
        <v>167</v>
      </c>
      <c r="E169" s="70"/>
      <c r="F169" s="69" t="s">
        <v>167</v>
      </c>
      <c r="G169" s="70"/>
      <c r="H169" s="85" t="s">
        <v>167</v>
      </c>
      <c r="I169" s="86"/>
      <c r="J169" s="85" t="s">
        <v>167</v>
      </c>
      <c r="K169" s="86"/>
      <c r="L169" s="133"/>
      <c r="M169" s="134"/>
      <c r="N169" s="133"/>
      <c r="O169" s="134"/>
      <c r="P169" s="101" t="s">
        <v>167</v>
      </c>
      <c r="Q169" s="102"/>
      <c r="R169" s="101" t="s">
        <v>167</v>
      </c>
      <c r="S169" s="102"/>
      <c r="T169" s="101" t="s">
        <v>167</v>
      </c>
      <c r="U169" s="102"/>
      <c r="V169" s="117" t="s">
        <v>167</v>
      </c>
      <c r="W169" s="118"/>
      <c r="X169" s="117" t="s">
        <v>167</v>
      </c>
      <c r="Y169" s="118"/>
      <c r="Z169" s="117" t="s">
        <v>167</v>
      </c>
      <c r="AA169" s="118"/>
      <c r="AB169" s="153" t="s">
        <v>167</v>
      </c>
      <c r="AC169" s="154"/>
      <c r="AD169" s="153" t="s">
        <v>167</v>
      </c>
      <c r="AE169" s="154"/>
      <c r="AF169" s="153" t="s">
        <v>167</v>
      </c>
      <c r="AG169" s="154"/>
      <c r="AH169" s="153" t="s">
        <v>167</v>
      </c>
      <c r="AI169" s="154"/>
      <c r="AJ169" s="170" t="s">
        <v>167</v>
      </c>
      <c r="AK169" s="171"/>
      <c r="AL169" s="170" t="s">
        <v>167</v>
      </c>
      <c r="AM169" s="171"/>
      <c r="AN169" s="34"/>
      <c r="AO169" s="56"/>
      <c r="AP169" s="34"/>
      <c r="AQ169" s="56"/>
      <c r="AR169" s="34"/>
      <c r="AS169" s="56"/>
      <c r="AT169" s="34"/>
      <c r="AU169" s="56"/>
      <c r="AV169" s="34"/>
      <c r="AW169" s="56"/>
      <c r="AX169" s="34"/>
      <c r="AY169" s="56"/>
      <c r="AZ169" s="34"/>
      <c r="BA169" s="56"/>
      <c r="BB169" s="34"/>
      <c r="BC169" s="56"/>
      <c r="BD169" s="69" t="s">
        <v>167</v>
      </c>
      <c r="BE169" s="70"/>
      <c r="BF169" s="69" t="s">
        <v>167</v>
      </c>
      <c r="BG169" s="70"/>
      <c r="BH169" s="69" t="s">
        <v>167</v>
      </c>
      <c r="BI169" s="70"/>
      <c r="BJ169" s="69" t="s">
        <v>167</v>
      </c>
      <c r="BK169" s="70"/>
      <c r="BL169" s="85" t="s">
        <v>167</v>
      </c>
      <c r="BM169" s="86"/>
      <c r="BN169" s="85" t="s">
        <v>167</v>
      </c>
      <c r="BO169" s="86"/>
      <c r="BP169" s="101" t="s">
        <v>167</v>
      </c>
      <c r="BQ169" s="102"/>
      <c r="BR169" s="101" t="s">
        <v>167</v>
      </c>
      <c r="BS169" s="102"/>
      <c r="BT169" s="117" t="s">
        <v>167</v>
      </c>
      <c r="BU169" s="118"/>
      <c r="BV169" s="117" t="s">
        <v>167</v>
      </c>
      <c r="BW169" s="118"/>
      <c r="BX169" s="34"/>
      <c r="BY169" s="56"/>
      <c r="BZ169" s="34"/>
      <c r="CA169" s="56"/>
      <c r="CB169" s="34"/>
      <c r="CC169" s="56"/>
      <c r="CD169" s="34"/>
      <c r="CE169" s="56"/>
      <c r="CF169" s="34"/>
      <c r="CG169" s="56"/>
      <c r="CH169" s="34"/>
      <c r="CI169" s="56"/>
      <c r="CJ169" s="34"/>
      <c r="CK169" s="56"/>
      <c r="CL169" s="153" t="s">
        <v>167</v>
      </c>
      <c r="CM169" s="154"/>
      <c r="CN169" s="153" t="s">
        <v>167</v>
      </c>
      <c r="CO169" s="154"/>
      <c r="CP169" s="153" t="s">
        <v>167</v>
      </c>
      <c r="CQ169" s="154"/>
      <c r="CR169" s="170" t="s">
        <v>167</v>
      </c>
      <c r="CS169" s="171"/>
      <c r="CT169" s="170" t="s">
        <v>167</v>
      </c>
      <c r="CU169" s="171"/>
      <c r="CV169" s="170" t="s">
        <v>167</v>
      </c>
      <c r="CW169" s="171"/>
      <c r="CX169" s="34"/>
      <c r="CY169" s="56"/>
      <c r="CZ169" s="34"/>
      <c r="DA169" s="56"/>
      <c r="DB169" s="69" t="s">
        <v>167</v>
      </c>
      <c r="DC169" s="70"/>
      <c r="DD169" s="69" t="s">
        <v>167</v>
      </c>
      <c r="DE169" s="70"/>
      <c r="DF169" s="69" t="s">
        <v>167</v>
      </c>
      <c r="DG169" s="70"/>
    </row>
    <row r="170" spans="1:111" outlineLevel="1" x14ac:dyDescent="0.2">
      <c r="A170" s="30"/>
      <c r="B170" s="30"/>
      <c r="E170" s="66"/>
      <c r="G170" s="66"/>
      <c r="I170" s="82"/>
      <c r="K170" s="82"/>
      <c r="M170" s="130"/>
      <c r="O170" s="130"/>
      <c r="Q170" s="98"/>
      <c r="S170" s="98"/>
      <c r="U170" s="98"/>
      <c r="W170" s="114"/>
      <c r="Y170" s="114"/>
      <c r="AA170" s="114"/>
      <c r="AC170" s="150"/>
      <c r="AE170" s="150"/>
      <c r="AG170" s="150"/>
      <c r="AI170" s="150"/>
      <c r="AK170" s="167"/>
      <c r="AM170" s="167"/>
      <c r="AO170" s="54"/>
      <c r="AQ170" s="54"/>
      <c r="AS170" s="54"/>
      <c r="AU170" s="54"/>
      <c r="AW170" s="54"/>
      <c r="AY170" s="54"/>
      <c r="BA170" s="54"/>
      <c r="BC170" s="54"/>
      <c r="BE170" s="66"/>
      <c r="BG170" s="66"/>
      <c r="BI170" s="66"/>
      <c r="BK170" s="66"/>
      <c r="BM170" s="82"/>
      <c r="BO170" s="82"/>
      <c r="BQ170" s="98"/>
      <c r="BS170" s="98"/>
      <c r="BU170" s="114"/>
      <c r="BW170" s="114"/>
      <c r="BY170" s="54"/>
      <c r="CA170" s="54"/>
      <c r="CC170" s="54"/>
      <c r="CE170" s="54"/>
      <c r="CG170" s="54"/>
      <c r="CI170" s="54"/>
      <c r="CK170" s="54"/>
      <c r="CM170" s="150"/>
      <c r="CO170" s="150"/>
      <c r="CQ170" s="150"/>
      <c r="CS170" s="167"/>
      <c r="CU170" s="167"/>
      <c r="CW170" s="167"/>
      <c r="CY170" s="54"/>
      <c r="DA170" s="54"/>
      <c r="DC170" s="66"/>
      <c r="DE170" s="66"/>
      <c r="DG170" s="66"/>
    </row>
    <row r="171" spans="1:111" outlineLevel="1" x14ac:dyDescent="0.2">
      <c r="A171" s="30"/>
      <c r="B171" s="29" t="s">
        <v>148</v>
      </c>
      <c r="C171" s="36">
        <v>55.075437446560521</v>
      </c>
      <c r="D171" s="71">
        <v>63.293005393774152</v>
      </c>
      <c r="E171" s="68" t="s">
        <v>175</v>
      </c>
      <c r="F171" s="71">
        <v>41.591181755861953</v>
      </c>
      <c r="G171" s="68"/>
      <c r="H171" s="87">
        <v>63.926321504463957</v>
      </c>
      <c r="I171" s="84" t="s">
        <v>177</v>
      </c>
      <c r="J171" s="87">
        <v>36.167677396955803</v>
      </c>
      <c r="K171" s="84"/>
      <c r="L171" s="135"/>
      <c r="M171" s="132"/>
      <c r="N171" s="135"/>
      <c r="O171" s="132"/>
      <c r="P171" s="103">
        <v>56.930042777104426</v>
      </c>
      <c r="Q171" s="100" t="s">
        <v>250</v>
      </c>
      <c r="R171" s="103">
        <v>34.767455136122557</v>
      </c>
      <c r="S171" s="100"/>
      <c r="T171" s="103">
        <v>33.545290663637047</v>
      </c>
      <c r="U171" s="100"/>
      <c r="V171" s="119">
        <v>46.161207790217453</v>
      </c>
      <c r="W171" s="116" t="s">
        <v>251</v>
      </c>
      <c r="X171" s="119">
        <v>33.558379548357991</v>
      </c>
      <c r="Y171" s="116"/>
      <c r="Z171" s="119">
        <v>30.951454838443318</v>
      </c>
      <c r="AA171" s="116"/>
      <c r="AB171" s="155">
        <v>50.902177381368425</v>
      </c>
      <c r="AC171" s="152"/>
      <c r="AD171" s="155">
        <v>56.164440827846512</v>
      </c>
      <c r="AE171" s="152"/>
      <c r="AF171" s="155">
        <v>59.674006395010835</v>
      </c>
      <c r="AG171" s="152" t="s">
        <v>170</v>
      </c>
      <c r="AH171" s="155">
        <v>53.671410599150811</v>
      </c>
      <c r="AI171" s="152"/>
      <c r="AJ171" s="172">
        <v>54.699000139597295</v>
      </c>
      <c r="AK171" s="169"/>
      <c r="AL171" s="172">
        <v>55.442339230508757</v>
      </c>
      <c r="AM171" s="169"/>
      <c r="AN171" s="36"/>
      <c r="AO171" s="55"/>
      <c r="AP171" s="36"/>
      <c r="AQ171" s="55"/>
      <c r="AR171" s="36"/>
      <c r="AS171" s="55"/>
      <c r="AT171" s="36"/>
      <c r="AU171" s="55"/>
      <c r="AV171" s="36"/>
      <c r="AW171" s="55"/>
      <c r="AX171" s="36"/>
      <c r="AY171" s="55"/>
      <c r="AZ171" s="36"/>
      <c r="BA171" s="55"/>
      <c r="BB171" s="36"/>
      <c r="BC171" s="55"/>
      <c r="BD171" s="71">
        <v>57.514314794748422</v>
      </c>
      <c r="BE171" s="68"/>
      <c r="BF171" s="71">
        <v>53.951947375402774</v>
      </c>
      <c r="BG171" s="68"/>
      <c r="BH171" s="71">
        <v>54.395389136010984</v>
      </c>
      <c r="BI171" s="68"/>
      <c r="BJ171" s="71">
        <v>55.462735935096127</v>
      </c>
      <c r="BK171" s="68"/>
      <c r="BL171" s="87">
        <v>50.69468228161962</v>
      </c>
      <c r="BM171" s="84"/>
      <c r="BN171" s="87">
        <v>59.894241358799029</v>
      </c>
      <c r="BO171" s="84" t="s">
        <v>195</v>
      </c>
      <c r="BP171" s="103">
        <v>45.768417334634208</v>
      </c>
      <c r="BQ171" s="100"/>
      <c r="BR171" s="103">
        <v>59.081906724020925</v>
      </c>
      <c r="BS171" s="100" t="s">
        <v>197</v>
      </c>
      <c r="BT171" s="119">
        <v>60.024987711749873</v>
      </c>
      <c r="BU171" s="116" t="s">
        <v>200</v>
      </c>
      <c r="BV171" s="119">
        <v>51.379564730522311</v>
      </c>
      <c r="BW171" s="116"/>
      <c r="BX171" s="36"/>
      <c r="BY171" s="55"/>
      <c r="BZ171" s="36"/>
      <c r="CA171" s="55"/>
      <c r="CB171" s="36"/>
      <c r="CC171" s="55"/>
      <c r="CD171" s="36"/>
      <c r="CE171" s="55"/>
      <c r="CF171" s="36"/>
      <c r="CG171" s="55"/>
      <c r="CH171" s="36"/>
      <c r="CI171" s="55"/>
      <c r="CJ171" s="36"/>
      <c r="CK171" s="55"/>
      <c r="CL171" s="155">
        <v>54.483971054911549</v>
      </c>
      <c r="CM171" s="152"/>
      <c r="CN171" s="155">
        <v>54.911584850839553</v>
      </c>
      <c r="CO171" s="152"/>
      <c r="CP171" s="155">
        <v>55.833318862947742</v>
      </c>
      <c r="CQ171" s="152"/>
      <c r="CR171" s="172">
        <v>66.296160092360395</v>
      </c>
      <c r="CS171" s="169" t="s">
        <v>243</v>
      </c>
      <c r="CT171" s="172">
        <v>48.891590815408584</v>
      </c>
      <c r="CU171" s="169"/>
      <c r="CV171" s="172">
        <v>44.53812740878017</v>
      </c>
      <c r="CW171" s="169"/>
      <c r="CX171" s="36"/>
      <c r="CY171" s="55"/>
      <c r="CZ171" s="36"/>
      <c r="DA171" s="55"/>
      <c r="DB171" s="71">
        <v>63.143733913643487</v>
      </c>
      <c r="DC171" s="68" t="s">
        <v>245</v>
      </c>
      <c r="DD171" s="71">
        <v>54.435493364959022</v>
      </c>
      <c r="DE171" s="68" t="s">
        <v>208</v>
      </c>
      <c r="DF171" s="71">
        <v>44.791533311906818</v>
      </c>
      <c r="DG171" s="68"/>
    </row>
    <row r="172" spans="1:111" outlineLevel="1" x14ac:dyDescent="0.2">
      <c r="A172" s="30"/>
      <c r="B172" s="37" t="s">
        <v>149</v>
      </c>
      <c r="C172" s="38">
        <v>22.747676363802462</v>
      </c>
      <c r="D172" s="72">
        <v>26.894158660896721</v>
      </c>
      <c r="E172" s="68" t="s">
        <v>175</v>
      </c>
      <c r="F172" s="72">
        <v>15.943689117194713</v>
      </c>
      <c r="G172" s="68"/>
      <c r="H172" s="88">
        <v>28.154611775111114</v>
      </c>
      <c r="I172" s="84" t="s">
        <v>177</v>
      </c>
      <c r="J172" s="88">
        <v>11.197074560421555</v>
      </c>
      <c r="K172" s="84"/>
      <c r="L172" s="136"/>
      <c r="M172" s="132"/>
      <c r="N172" s="136"/>
      <c r="O172" s="132"/>
      <c r="P172" s="104">
        <v>25.681211388371878</v>
      </c>
      <c r="Q172" s="100" t="s">
        <v>250</v>
      </c>
      <c r="R172" s="104">
        <v>12.178843139900566</v>
      </c>
      <c r="S172" s="100"/>
      <c r="T172" s="104">
        <v>11.296098787186725</v>
      </c>
      <c r="U172" s="100"/>
      <c r="V172" s="120">
        <v>15.599642090624421</v>
      </c>
      <c r="W172" s="116"/>
      <c r="X172" s="120">
        <v>9.7563092499998518</v>
      </c>
      <c r="Y172" s="116"/>
      <c r="Z172" s="120">
        <v>9.7106421916391117</v>
      </c>
      <c r="AA172" s="116"/>
      <c r="AB172" s="156">
        <v>18.494541352012522</v>
      </c>
      <c r="AC172" s="152"/>
      <c r="AD172" s="156">
        <v>24.408036821638692</v>
      </c>
      <c r="AE172" s="152" t="s">
        <v>170</v>
      </c>
      <c r="AF172" s="156">
        <v>28.164374240262145</v>
      </c>
      <c r="AG172" s="152" t="s">
        <v>256</v>
      </c>
      <c r="AH172" s="156">
        <v>19.543245793363738</v>
      </c>
      <c r="AI172" s="152"/>
      <c r="AJ172" s="173">
        <v>21.640085887970862</v>
      </c>
      <c r="AK172" s="169"/>
      <c r="AL172" s="173">
        <v>23.827210495913313</v>
      </c>
      <c r="AM172" s="169"/>
      <c r="AN172" s="38"/>
      <c r="AO172" s="55"/>
      <c r="AP172" s="38"/>
      <c r="AQ172" s="55"/>
      <c r="AR172" s="38"/>
      <c r="AS172" s="55"/>
      <c r="AT172" s="38"/>
      <c r="AU172" s="55"/>
      <c r="AV172" s="38"/>
      <c r="AW172" s="55"/>
      <c r="AX172" s="38"/>
      <c r="AY172" s="55"/>
      <c r="AZ172" s="38"/>
      <c r="BA172" s="55"/>
      <c r="BB172" s="38"/>
      <c r="BC172" s="55"/>
      <c r="BD172" s="72">
        <v>21.812948001543166</v>
      </c>
      <c r="BE172" s="68"/>
      <c r="BF172" s="72">
        <v>22.829059985741633</v>
      </c>
      <c r="BG172" s="68"/>
      <c r="BH172" s="72">
        <v>20.869239176973146</v>
      </c>
      <c r="BI172" s="68"/>
      <c r="BJ172" s="72">
        <v>25.372063896660979</v>
      </c>
      <c r="BK172" s="68"/>
      <c r="BL172" s="88">
        <v>21.290350543822701</v>
      </c>
      <c r="BM172" s="84"/>
      <c r="BN172" s="88">
        <v>23.864326645515359</v>
      </c>
      <c r="BO172" s="84"/>
      <c r="BP172" s="104">
        <v>21.082553256325525</v>
      </c>
      <c r="BQ172" s="100"/>
      <c r="BR172" s="104">
        <v>23.505658826558712</v>
      </c>
      <c r="BS172" s="100"/>
      <c r="BT172" s="120">
        <v>26.550231288433846</v>
      </c>
      <c r="BU172" s="116" t="s">
        <v>200</v>
      </c>
      <c r="BV172" s="120">
        <v>19.830318337021623</v>
      </c>
      <c r="BW172" s="116"/>
      <c r="BX172" s="38"/>
      <c r="BY172" s="55"/>
      <c r="BZ172" s="38"/>
      <c r="CA172" s="55"/>
      <c r="CB172" s="38"/>
      <c r="CC172" s="55"/>
      <c r="CD172" s="38"/>
      <c r="CE172" s="55"/>
      <c r="CF172" s="38"/>
      <c r="CG172" s="55"/>
      <c r="CH172" s="38"/>
      <c r="CI172" s="55"/>
      <c r="CJ172" s="38"/>
      <c r="CK172" s="55"/>
      <c r="CL172" s="156">
        <v>20.577336350671001</v>
      </c>
      <c r="CM172" s="152"/>
      <c r="CN172" s="156">
        <v>28.439204027163079</v>
      </c>
      <c r="CO172" s="152" t="s">
        <v>201</v>
      </c>
      <c r="CP172" s="156">
        <v>25.569920392450474</v>
      </c>
      <c r="CQ172" s="152"/>
      <c r="CR172" s="173">
        <v>32.212884839683049</v>
      </c>
      <c r="CS172" s="169" t="s">
        <v>243</v>
      </c>
      <c r="CT172" s="173">
        <v>16.800680582363768</v>
      </c>
      <c r="CU172" s="169"/>
      <c r="CV172" s="173">
        <v>14.680812881533342</v>
      </c>
      <c r="CW172" s="169"/>
      <c r="CX172" s="38"/>
      <c r="CY172" s="55"/>
      <c r="CZ172" s="38"/>
      <c r="DA172" s="55"/>
      <c r="DB172" s="72">
        <v>30.717188458547518</v>
      </c>
      <c r="DC172" s="68" t="s">
        <v>245</v>
      </c>
      <c r="DD172" s="72">
        <v>21.484257198913827</v>
      </c>
      <c r="DE172" s="68" t="s">
        <v>208</v>
      </c>
      <c r="DF172" s="72">
        <v>14.027040000430816</v>
      </c>
      <c r="DG172" s="68"/>
    </row>
    <row r="173" spans="1:111" outlineLevel="1" x14ac:dyDescent="0.2">
      <c r="A173" s="30"/>
      <c r="B173" s="37" t="s">
        <v>150</v>
      </c>
      <c r="C173" s="38">
        <v>32.327761082758059</v>
      </c>
      <c r="D173" s="72">
        <v>36.398846732877431</v>
      </c>
      <c r="E173" s="68" t="s">
        <v>175</v>
      </c>
      <c r="F173" s="72">
        <v>25.647492638667238</v>
      </c>
      <c r="G173" s="68"/>
      <c r="H173" s="88">
        <v>35.771709729352843</v>
      </c>
      <c r="I173" s="84" t="s">
        <v>177</v>
      </c>
      <c r="J173" s="88">
        <v>24.970602836534251</v>
      </c>
      <c r="K173" s="84"/>
      <c r="L173" s="136"/>
      <c r="M173" s="132"/>
      <c r="N173" s="136"/>
      <c r="O173" s="132"/>
      <c r="P173" s="104">
        <v>31.248831388732548</v>
      </c>
      <c r="Q173" s="100" t="s">
        <v>182</v>
      </c>
      <c r="R173" s="104">
        <v>22.588611996221989</v>
      </c>
      <c r="S173" s="100"/>
      <c r="T173" s="104">
        <v>22.249191876450325</v>
      </c>
      <c r="U173" s="100"/>
      <c r="V173" s="120">
        <v>30.561565699593036</v>
      </c>
      <c r="W173" s="116"/>
      <c r="X173" s="120">
        <v>23.802070298358135</v>
      </c>
      <c r="Y173" s="116"/>
      <c r="Z173" s="120">
        <v>21.240812646804205</v>
      </c>
      <c r="AA173" s="116"/>
      <c r="AB173" s="156">
        <v>32.407636029355899</v>
      </c>
      <c r="AC173" s="152"/>
      <c r="AD173" s="156">
        <v>31.75640400620782</v>
      </c>
      <c r="AE173" s="152"/>
      <c r="AF173" s="156">
        <v>31.509632154748694</v>
      </c>
      <c r="AG173" s="152"/>
      <c r="AH173" s="156">
        <v>34.128164805787073</v>
      </c>
      <c r="AI173" s="152"/>
      <c r="AJ173" s="173">
        <v>33.058914251626433</v>
      </c>
      <c r="AK173" s="169"/>
      <c r="AL173" s="173">
        <v>31.615128734595441</v>
      </c>
      <c r="AM173" s="169"/>
      <c r="AN173" s="38"/>
      <c r="AO173" s="55"/>
      <c r="AP173" s="38"/>
      <c r="AQ173" s="55"/>
      <c r="AR173" s="38"/>
      <c r="AS173" s="55"/>
      <c r="AT173" s="38"/>
      <c r="AU173" s="55"/>
      <c r="AV173" s="38"/>
      <c r="AW173" s="55"/>
      <c r="AX173" s="38"/>
      <c r="AY173" s="55"/>
      <c r="AZ173" s="38"/>
      <c r="BA173" s="55"/>
      <c r="BB173" s="38"/>
      <c r="BC173" s="55"/>
      <c r="BD173" s="72">
        <v>35.701366793205253</v>
      </c>
      <c r="BE173" s="68"/>
      <c r="BF173" s="72">
        <v>31.122887389661138</v>
      </c>
      <c r="BG173" s="68"/>
      <c r="BH173" s="72">
        <v>33.526149959037838</v>
      </c>
      <c r="BI173" s="68"/>
      <c r="BJ173" s="72">
        <v>30.090672038435152</v>
      </c>
      <c r="BK173" s="68"/>
      <c r="BL173" s="88">
        <v>29.40433173779692</v>
      </c>
      <c r="BM173" s="84"/>
      <c r="BN173" s="88">
        <v>36.029914713283674</v>
      </c>
      <c r="BO173" s="84" t="s">
        <v>195</v>
      </c>
      <c r="BP173" s="104">
        <v>24.685864078308679</v>
      </c>
      <c r="BQ173" s="100"/>
      <c r="BR173" s="104">
        <v>35.57624789746221</v>
      </c>
      <c r="BS173" s="100" t="s">
        <v>197</v>
      </c>
      <c r="BT173" s="120">
        <v>33.47475642331603</v>
      </c>
      <c r="BU173" s="116"/>
      <c r="BV173" s="120">
        <v>31.549246393500685</v>
      </c>
      <c r="BW173" s="116"/>
      <c r="BX173" s="38"/>
      <c r="BY173" s="55"/>
      <c r="BZ173" s="38"/>
      <c r="CA173" s="55"/>
      <c r="CB173" s="38"/>
      <c r="CC173" s="55"/>
      <c r="CD173" s="38"/>
      <c r="CE173" s="55"/>
      <c r="CF173" s="38"/>
      <c r="CG173" s="55"/>
      <c r="CH173" s="38"/>
      <c r="CI173" s="55"/>
      <c r="CJ173" s="38"/>
      <c r="CK173" s="55"/>
      <c r="CL173" s="156">
        <v>33.906634704240552</v>
      </c>
      <c r="CM173" s="152" t="s">
        <v>202</v>
      </c>
      <c r="CN173" s="156">
        <v>26.472380823676474</v>
      </c>
      <c r="CO173" s="152"/>
      <c r="CP173" s="156">
        <v>30.263398470497265</v>
      </c>
      <c r="CQ173" s="152"/>
      <c r="CR173" s="173">
        <v>34.083275252677353</v>
      </c>
      <c r="CS173" s="169"/>
      <c r="CT173" s="173">
        <v>32.090910233044816</v>
      </c>
      <c r="CU173" s="169"/>
      <c r="CV173" s="173">
        <v>29.857314527246828</v>
      </c>
      <c r="CW173" s="169"/>
      <c r="CX173" s="38"/>
      <c r="CY173" s="55"/>
      <c r="CZ173" s="38"/>
      <c r="DA173" s="55"/>
      <c r="DB173" s="72">
        <v>32.426545455095969</v>
      </c>
      <c r="DC173" s="68"/>
      <c r="DD173" s="72">
        <v>32.951236166045192</v>
      </c>
      <c r="DE173" s="68"/>
      <c r="DF173" s="72">
        <v>30.764493311476006</v>
      </c>
      <c r="DG173" s="68"/>
    </row>
    <row r="174" spans="1:111" outlineLevel="1" x14ac:dyDescent="0.2">
      <c r="A174" s="30"/>
      <c r="B174" s="29"/>
      <c r="E174" s="66"/>
      <c r="G174" s="66"/>
      <c r="I174" s="82"/>
      <c r="K174" s="82"/>
      <c r="M174" s="130"/>
      <c r="O174" s="130"/>
      <c r="Q174" s="98"/>
      <c r="S174" s="98"/>
      <c r="U174" s="98"/>
      <c r="W174" s="114"/>
      <c r="Y174" s="114"/>
      <c r="AA174" s="114"/>
      <c r="AC174" s="150"/>
      <c r="AE174" s="150"/>
      <c r="AG174" s="150"/>
      <c r="AI174" s="150"/>
      <c r="AK174" s="167"/>
      <c r="AM174" s="167"/>
      <c r="AO174" s="54"/>
      <c r="AQ174" s="54"/>
      <c r="AS174" s="54"/>
      <c r="AU174" s="54"/>
      <c r="AW174" s="54"/>
      <c r="AY174" s="54"/>
      <c r="BA174" s="54"/>
      <c r="BC174" s="54"/>
      <c r="BE174" s="66"/>
      <c r="BG174" s="66"/>
      <c r="BI174" s="66"/>
      <c r="BK174" s="66"/>
      <c r="BM174" s="82"/>
      <c r="BO174" s="82"/>
      <c r="BQ174" s="98"/>
      <c r="BS174" s="98"/>
      <c r="BU174" s="114"/>
      <c r="BW174" s="114"/>
      <c r="BY174" s="54"/>
      <c r="CA174" s="54"/>
      <c r="CC174" s="54"/>
      <c r="CE174" s="54"/>
      <c r="CG174" s="54"/>
      <c r="CI174" s="54"/>
      <c r="CK174" s="54"/>
      <c r="CM174" s="150"/>
      <c r="CO174" s="150"/>
      <c r="CQ174" s="150"/>
      <c r="CS174" s="167"/>
      <c r="CU174" s="167"/>
      <c r="CW174" s="167"/>
      <c r="CY174" s="54"/>
      <c r="DA174" s="54"/>
      <c r="DC174" s="66"/>
      <c r="DE174" s="66"/>
      <c r="DG174" s="66"/>
    </row>
    <row r="175" spans="1:111" outlineLevel="1" x14ac:dyDescent="0.2">
      <c r="A175" s="30"/>
      <c r="B175" s="32" t="s">
        <v>151</v>
      </c>
      <c r="C175" s="38">
        <v>31.527908904077382</v>
      </c>
      <c r="D175" s="72">
        <v>25.695384925089336</v>
      </c>
      <c r="E175" s="68"/>
      <c r="F175" s="72">
        <v>41.098531886449273</v>
      </c>
      <c r="G175" s="68" t="s">
        <v>174</v>
      </c>
      <c r="H175" s="88">
        <v>25.66098860785959</v>
      </c>
      <c r="I175" s="84"/>
      <c r="J175" s="88">
        <v>44.061156483112853</v>
      </c>
      <c r="K175" s="84" t="s">
        <v>176</v>
      </c>
      <c r="L175" s="136"/>
      <c r="M175" s="132"/>
      <c r="N175" s="136"/>
      <c r="O175" s="132"/>
      <c r="P175" s="104">
        <v>29.786987673701905</v>
      </c>
      <c r="Q175" s="100"/>
      <c r="R175" s="104">
        <v>46.146948010835828</v>
      </c>
      <c r="S175" s="100" t="s">
        <v>180</v>
      </c>
      <c r="T175" s="104">
        <v>45.022577223378299</v>
      </c>
      <c r="U175" s="100" t="s">
        <v>180</v>
      </c>
      <c r="V175" s="120">
        <v>35.569686922989924</v>
      </c>
      <c r="W175" s="116"/>
      <c r="X175" s="120">
        <v>46.512100717345959</v>
      </c>
      <c r="Y175" s="116"/>
      <c r="Z175" s="120">
        <v>46.47480355565434</v>
      </c>
      <c r="AA175" s="116" t="s">
        <v>183</v>
      </c>
      <c r="AB175" s="156">
        <v>30.459953770531659</v>
      </c>
      <c r="AC175" s="152"/>
      <c r="AD175" s="156">
        <v>29.654310829676962</v>
      </c>
      <c r="AE175" s="152"/>
      <c r="AF175" s="156">
        <v>30.231158501136306</v>
      </c>
      <c r="AG175" s="152"/>
      <c r="AH175" s="156">
        <v>37.800152015516069</v>
      </c>
      <c r="AI175" s="152" t="s">
        <v>241</v>
      </c>
      <c r="AJ175" s="173">
        <v>30.199716361767443</v>
      </c>
      <c r="AK175" s="169"/>
      <c r="AL175" s="173">
        <v>32.822457037819795</v>
      </c>
      <c r="AM175" s="169"/>
      <c r="AN175" s="38"/>
      <c r="AO175" s="55"/>
      <c r="AP175" s="38"/>
      <c r="AQ175" s="55"/>
      <c r="AR175" s="38"/>
      <c r="AS175" s="55"/>
      <c r="AT175" s="38"/>
      <c r="AU175" s="55"/>
      <c r="AV175" s="38"/>
      <c r="AW175" s="55"/>
      <c r="AX175" s="38"/>
      <c r="AY175" s="55"/>
      <c r="AZ175" s="38"/>
      <c r="BA175" s="55"/>
      <c r="BB175" s="38"/>
      <c r="BC175" s="55"/>
      <c r="BD175" s="72">
        <v>31.410043041300025</v>
      </c>
      <c r="BE175" s="68"/>
      <c r="BF175" s="72">
        <v>31.764124088481541</v>
      </c>
      <c r="BG175" s="68"/>
      <c r="BH175" s="72">
        <v>32.762659787114984</v>
      </c>
      <c r="BI175" s="68"/>
      <c r="BJ175" s="72">
        <v>29.974430644588772</v>
      </c>
      <c r="BK175" s="68"/>
      <c r="BL175" s="88">
        <v>33.851086591849715</v>
      </c>
      <c r="BM175" s="84" t="s">
        <v>196</v>
      </c>
      <c r="BN175" s="88">
        <v>28.8743007406323</v>
      </c>
      <c r="BO175" s="84"/>
      <c r="BP175" s="104">
        <v>35.386301521658766</v>
      </c>
      <c r="BQ175" s="100" t="s">
        <v>198</v>
      </c>
      <c r="BR175" s="104">
        <v>29.975495754814304</v>
      </c>
      <c r="BS175" s="100"/>
      <c r="BT175" s="120">
        <v>28.721091350514758</v>
      </c>
      <c r="BU175" s="116"/>
      <c r="BV175" s="120">
        <v>33.703479610450223</v>
      </c>
      <c r="BW175" s="116" t="s">
        <v>199</v>
      </c>
      <c r="BX175" s="38"/>
      <c r="BY175" s="55"/>
      <c r="BZ175" s="38"/>
      <c r="CA175" s="55"/>
      <c r="CB175" s="38"/>
      <c r="CC175" s="55"/>
      <c r="CD175" s="38"/>
      <c r="CE175" s="55"/>
      <c r="CF175" s="38"/>
      <c r="CG175" s="55"/>
      <c r="CH175" s="38"/>
      <c r="CI175" s="55"/>
      <c r="CJ175" s="38"/>
      <c r="CK175" s="55"/>
      <c r="CL175" s="156">
        <v>33.99532971531751</v>
      </c>
      <c r="CM175" s="152" t="s">
        <v>202</v>
      </c>
      <c r="CN175" s="156">
        <v>26.12439609446265</v>
      </c>
      <c r="CO175" s="152"/>
      <c r="CP175" s="156">
        <v>29.017174815536631</v>
      </c>
      <c r="CQ175" s="152"/>
      <c r="CR175" s="173">
        <v>23.028634043981178</v>
      </c>
      <c r="CS175" s="169"/>
      <c r="CT175" s="173">
        <v>35.951332617679547</v>
      </c>
      <c r="CU175" s="169" t="s">
        <v>48</v>
      </c>
      <c r="CV175" s="173">
        <v>38.447474705715109</v>
      </c>
      <c r="CW175" s="169" t="s">
        <v>48</v>
      </c>
      <c r="CX175" s="38"/>
      <c r="CY175" s="55"/>
      <c r="CZ175" s="38"/>
      <c r="DA175" s="55"/>
      <c r="DB175" s="72">
        <v>24.491262798646297</v>
      </c>
      <c r="DC175" s="68"/>
      <c r="DD175" s="72">
        <v>31.865559853521532</v>
      </c>
      <c r="DE175" s="68" t="s">
        <v>206</v>
      </c>
      <c r="DF175" s="72">
        <v>40.998819909817712</v>
      </c>
      <c r="DG175" s="68" t="s">
        <v>249</v>
      </c>
    </row>
    <row r="176" spans="1:111" outlineLevel="1" x14ac:dyDescent="0.2">
      <c r="A176" s="30"/>
      <c r="B176" s="29"/>
      <c r="E176" s="66"/>
      <c r="G176" s="66"/>
      <c r="I176" s="82"/>
      <c r="K176" s="82"/>
      <c r="M176" s="130"/>
      <c r="O176" s="130"/>
      <c r="Q176" s="98"/>
      <c r="S176" s="98"/>
      <c r="U176" s="98"/>
      <c r="W176" s="114"/>
      <c r="Y176" s="114"/>
      <c r="AA176" s="114"/>
      <c r="AC176" s="150"/>
      <c r="AE176" s="150"/>
      <c r="AG176" s="150"/>
      <c r="AI176" s="150"/>
      <c r="AK176" s="167"/>
      <c r="AM176" s="167"/>
      <c r="AO176" s="54"/>
      <c r="AQ176" s="54"/>
      <c r="AS176" s="54"/>
      <c r="AU176" s="54"/>
      <c r="AW176" s="54"/>
      <c r="AY176" s="54"/>
      <c r="BA176" s="54"/>
      <c r="BC176" s="54"/>
      <c r="BE176" s="66"/>
      <c r="BG176" s="66"/>
      <c r="BI176" s="66"/>
      <c r="BK176" s="66"/>
      <c r="BM176" s="82"/>
      <c r="BO176" s="82"/>
      <c r="BQ176" s="98"/>
      <c r="BS176" s="98"/>
      <c r="BU176" s="114"/>
      <c r="BW176" s="114"/>
      <c r="BY176" s="54"/>
      <c r="CA176" s="54"/>
      <c r="CC176" s="54"/>
      <c r="CE176" s="54"/>
      <c r="CG176" s="54"/>
      <c r="CI176" s="54"/>
      <c r="CK176" s="54"/>
      <c r="CM176" s="150"/>
      <c r="CO176" s="150"/>
      <c r="CQ176" s="150"/>
      <c r="CS176" s="167"/>
      <c r="CU176" s="167"/>
      <c r="CW176" s="167"/>
      <c r="CY176" s="54"/>
      <c r="DA176" s="54"/>
      <c r="DC176" s="66"/>
      <c r="DE176" s="66"/>
      <c r="DG176" s="66"/>
    </row>
    <row r="177" spans="1:111" outlineLevel="1" x14ac:dyDescent="0.2">
      <c r="A177" s="30"/>
      <c r="B177" s="29" t="s">
        <v>152</v>
      </c>
      <c r="C177" s="36">
        <v>13.396653649362099</v>
      </c>
      <c r="D177" s="71">
        <v>11.011609681136509</v>
      </c>
      <c r="E177" s="68"/>
      <c r="F177" s="71">
        <v>17.310286357688778</v>
      </c>
      <c r="G177" s="68" t="s">
        <v>174</v>
      </c>
      <c r="H177" s="87">
        <v>10.412689887676459</v>
      </c>
      <c r="I177" s="84"/>
      <c r="J177" s="87">
        <v>19.77116611993134</v>
      </c>
      <c r="K177" s="84" t="s">
        <v>176</v>
      </c>
      <c r="L177" s="135"/>
      <c r="M177" s="132"/>
      <c r="N177" s="135"/>
      <c r="O177" s="132"/>
      <c r="P177" s="103">
        <v>13.28296954919367</v>
      </c>
      <c r="Q177" s="100"/>
      <c r="R177" s="103">
        <v>19.085596853041608</v>
      </c>
      <c r="S177" s="100"/>
      <c r="T177" s="103">
        <v>21.432132112984657</v>
      </c>
      <c r="U177" s="100" t="s">
        <v>180</v>
      </c>
      <c r="V177" s="119">
        <v>18.269105286792623</v>
      </c>
      <c r="W177" s="116"/>
      <c r="X177" s="119">
        <v>19.929519734296058</v>
      </c>
      <c r="Y177" s="116"/>
      <c r="Z177" s="119">
        <v>22.573741605902342</v>
      </c>
      <c r="AA177" s="116"/>
      <c r="AB177" s="155">
        <v>18.63786884809992</v>
      </c>
      <c r="AC177" s="152" t="s">
        <v>260</v>
      </c>
      <c r="AD177" s="155">
        <v>14.18124834247652</v>
      </c>
      <c r="AE177" s="152" t="s">
        <v>173</v>
      </c>
      <c r="AF177" s="155">
        <v>10.094835103852862</v>
      </c>
      <c r="AG177" s="152"/>
      <c r="AH177" s="155">
        <v>8.5284373853331239</v>
      </c>
      <c r="AI177" s="152"/>
      <c r="AJ177" s="172">
        <v>15.101283498635258</v>
      </c>
      <c r="AK177" s="169" t="s">
        <v>187</v>
      </c>
      <c r="AL177" s="172">
        <v>11.735203731671454</v>
      </c>
      <c r="AM177" s="169"/>
      <c r="AN177" s="36"/>
      <c r="AO177" s="55"/>
      <c r="AP177" s="36"/>
      <c r="AQ177" s="55"/>
      <c r="AR177" s="36"/>
      <c r="AS177" s="55"/>
      <c r="AT177" s="36"/>
      <c r="AU177" s="55"/>
      <c r="AV177" s="36"/>
      <c r="AW177" s="55"/>
      <c r="AX177" s="36"/>
      <c r="AY177" s="55"/>
      <c r="AZ177" s="36"/>
      <c r="BA177" s="55"/>
      <c r="BB177" s="36"/>
      <c r="BC177" s="55"/>
      <c r="BD177" s="71">
        <v>11.075642163951555</v>
      </c>
      <c r="BE177" s="68"/>
      <c r="BF177" s="71">
        <v>14.283928536115681</v>
      </c>
      <c r="BG177" s="68"/>
      <c r="BH177" s="71">
        <v>12.841951076874032</v>
      </c>
      <c r="BI177" s="68"/>
      <c r="BJ177" s="71">
        <v>14.562833420315094</v>
      </c>
      <c r="BK177" s="68"/>
      <c r="BL177" s="87">
        <v>15.454231126530663</v>
      </c>
      <c r="BM177" s="84" t="s">
        <v>196</v>
      </c>
      <c r="BN177" s="87">
        <v>11.231457900568662</v>
      </c>
      <c r="BO177" s="84"/>
      <c r="BP177" s="103">
        <v>18.845281143707023</v>
      </c>
      <c r="BQ177" s="100" t="s">
        <v>198</v>
      </c>
      <c r="BR177" s="103">
        <v>10.942597521164762</v>
      </c>
      <c r="BS177" s="100"/>
      <c r="BT177" s="119">
        <v>11.253920937735364</v>
      </c>
      <c r="BU177" s="116"/>
      <c r="BV177" s="119">
        <v>14.916955659027474</v>
      </c>
      <c r="BW177" s="116" t="s">
        <v>199</v>
      </c>
      <c r="BX177" s="36"/>
      <c r="BY177" s="55"/>
      <c r="BZ177" s="36"/>
      <c r="CA177" s="55"/>
      <c r="CB177" s="36"/>
      <c r="CC177" s="55"/>
      <c r="CD177" s="36"/>
      <c r="CE177" s="55"/>
      <c r="CF177" s="36"/>
      <c r="CG177" s="55"/>
      <c r="CH177" s="36"/>
      <c r="CI177" s="55"/>
      <c r="CJ177" s="36"/>
      <c r="CK177" s="55"/>
      <c r="CL177" s="155">
        <v>11.520699229770937</v>
      </c>
      <c r="CM177" s="152"/>
      <c r="CN177" s="155">
        <v>18.964019054697793</v>
      </c>
      <c r="CO177" s="152" t="s">
        <v>201</v>
      </c>
      <c r="CP177" s="155">
        <v>15.149506321515624</v>
      </c>
      <c r="CQ177" s="152"/>
      <c r="CR177" s="172">
        <v>10.675205863658418</v>
      </c>
      <c r="CS177" s="169"/>
      <c r="CT177" s="172">
        <v>15.157076566911867</v>
      </c>
      <c r="CU177" s="169" t="s">
        <v>48</v>
      </c>
      <c r="CV177" s="172">
        <v>17.014397885504717</v>
      </c>
      <c r="CW177" s="169" t="s">
        <v>48</v>
      </c>
      <c r="CX177" s="36"/>
      <c r="CY177" s="55"/>
      <c r="CZ177" s="36"/>
      <c r="DA177" s="55"/>
      <c r="DB177" s="71">
        <v>12.365003287710222</v>
      </c>
      <c r="DC177" s="68"/>
      <c r="DD177" s="71">
        <v>13.698946781519441</v>
      </c>
      <c r="DE177" s="68"/>
      <c r="DF177" s="71">
        <v>14.209646778275474</v>
      </c>
      <c r="DG177" s="68"/>
    </row>
    <row r="178" spans="1:111" outlineLevel="1" x14ac:dyDescent="0.2">
      <c r="A178" s="30"/>
      <c r="B178" s="37" t="s">
        <v>153</v>
      </c>
      <c r="C178" s="38">
        <v>6.7664619208277577</v>
      </c>
      <c r="D178" s="72">
        <v>6.3658307109030465</v>
      </c>
      <c r="E178" s="68"/>
      <c r="F178" s="72">
        <v>7.4238600350874036</v>
      </c>
      <c r="G178" s="68"/>
      <c r="H178" s="88">
        <v>6.0319859667530586</v>
      </c>
      <c r="I178" s="84"/>
      <c r="J178" s="88">
        <v>8.3354910721528395</v>
      </c>
      <c r="K178" s="84"/>
      <c r="L178" s="136"/>
      <c r="M178" s="132"/>
      <c r="N178" s="136"/>
      <c r="O178" s="132"/>
      <c r="P178" s="104">
        <v>7.8186619033201374</v>
      </c>
      <c r="Q178" s="100"/>
      <c r="R178" s="104">
        <v>7.8195999875450193</v>
      </c>
      <c r="S178" s="100"/>
      <c r="T178" s="104">
        <v>7.6572725323007909</v>
      </c>
      <c r="U178" s="100"/>
      <c r="V178" s="120">
        <v>11.026058185035399</v>
      </c>
      <c r="W178" s="116"/>
      <c r="X178" s="120">
        <v>7.7311905493668016</v>
      </c>
      <c r="Y178" s="116"/>
      <c r="Z178" s="120">
        <v>7.7643488371730713</v>
      </c>
      <c r="AA178" s="116"/>
      <c r="AB178" s="156">
        <v>10.952670824913012</v>
      </c>
      <c r="AC178" s="152" t="s">
        <v>260</v>
      </c>
      <c r="AD178" s="156">
        <v>6.6084909906236273</v>
      </c>
      <c r="AE178" s="152" t="s">
        <v>173</v>
      </c>
      <c r="AF178" s="156">
        <v>5.2954058982083403</v>
      </c>
      <c r="AG178" s="152"/>
      <c r="AH178" s="156">
        <v>3.65497719767259</v>
      </c>
      <c r="AI178" s="152"/>
      <c r="AJ178" s="173">
        <v>7.9286339209694834</v>
      </c>
      <c r="AK178" s="169" t="s">
        <v>187</v>
      </c>
      <c r="AL178" s="173">
        <v>5.6337288674900137</v>
      </c>
      <c r="AM178" s="169"/>
      <c r="AN178" s="38"/>
      <c r="AO178" s="55"/>
      <c r="AP178" s="38"/>
      <c r="AQ178" s="55"/>
      <c r="AR178" s="38"/>
      <c r="AS178" s="55"/>
      <c r="AT178" s="38"/>
      <c r="AU178" s="55"/>
      <c r="AV178" s="38"/>
      <c r="AW178" s="55"/>
      <c r="AX178" s="38"/>
      <c r="AY178" s="55"/>
      <c r="AZ178" s="38"/>
      <c r="BA178" s="55"/>
      <c r="BB178" s="38"/>
      <c r="BC178" s="55"/>
      <c r="BD178" s="72">
        <v>5.0168152218462332</v>
      </c>
      <c r="BE178" s="68"/>
      <c r="BF178" s="72">
        <v>7.5224784323823952</v>
      </c>
      <c r="BG178" s="68"/>
      <c r="BH178" s="72">
        <v>7.0434458150038166</v>
      </c>
      <c r="BI178" s="68"/>
      <c r="BJ178" s="72">
        <v>6.7872266697801908</v>
      </c>
      <c r="BK178" s="68"/>
      <c r="BL178" s="88">
        <v>7.1417349681658768</v>
      </c>
      <c r="BM178" s="84"/>
      <c r="BN178" s="88">
        <v>6.6539014234644895</v>
      </c>
      <c r="BO178" s="84"/>
      <c r="BP178" s="104">
        <v>9.5138258243075828</v>
      </c>
      <c r="BQ178" s="100" t="s">
        <v>198</v>
      </c>
      <c r="BR178" s="104">
        <v>5.539022589709699</v>
      </c>
      <c r="BS178" s="100"/>
      <c r="BT178" s="120">
        <v>5.8029036822426843</v>
      </c>
      <c r="BU178" s="116"/>
      <c r="BV178" s="120">
        <v>7.4654771432150167</v>
      </c>
      <c r="BW178" s="116"/>
      <c r="BX178" s="38"/>
      <c r="BY178" s="55"/>
      <c r="BZ178" s="38"/>
      <c r="CA178" s="55"/>
      <c r="CB178" s="38"/>
      <c r="CC178" s="55"/>
      <c r="CD178" s="38"/>
      <c r="CE178" s="55"/>
      <c r="CF178" s="38"/>
      <c r="CG178" s="55"/>
      <c r="CH178" s="38"/>
      <c r="CI178" s="55"/>
      <c r="CJ178" s="38"/>
      <c r="CK178" s="55"/>
      <c r="CL178" s="156">
        <v>5.5023297319094997</v>
      </c>
      <c r="CM178" s="152"/>
      <c r="CN178" s="156">
        <v>10.544410284131221</v>
      </c>
      <c r="CO178" s="152" t="s">
        <v>201</v>
      </c>
      <c r="CP178" s="156">
        <v>6.7182425257053628</v>
      </c>
      <c r="CQ178" s="152"/>
      <c r="CR178" s="173">
        <v>6.4918398393020791</v>
      </c>
      <c r="CS178" s="169"/>
      <c r="CT178" s="173">
        <v>6.3114601590697745</v>
      </c>
      <c r="CU178" s="169"/>
      <c r="CV178" s="173">
        <v>8.5437831847829866</v>
      </c>
      <c r="CW178" s="169"/>
      <c r="CX178" s="38"/>
      <c r="CY178" s="55"/>
      <c r="CZ178" s="38"/>
      <c r="DA178" s="55"/>
      <c r="DB178" s="72">
        <v>6.994050497681445</v>
      </c>
      <c r="DC178" s="68"/>
      <c r="DD178" s="72">
        <v>7.42913436069521</v>
      </c>
      <c r="DE178" s="68"/>
      <c r="DF178" s="72">
        <v>4.926515458789738</v>
      </c>
      <c r="DG178" s="68"/>
    </row>
    <row r="179" spans="1:111" outlineLevel="1" x14ac:dyDescent="0.2">
      <c r="A179" s="30"/>
      <c r="B179" s="37" t="s">
        <v>154</v>
      </c>
      <c r="C179" s="38">
        <v>6.6301917285343412</v>
      </c>
      <c r="D179" s="72">
        <v>4.6457789702334633</v>
      </c>
      <c r="E179" s="68"/>
      <c r="F179" s="72">
        <v>9.8864263226013751</v>
      </c>
      <c r="G179" s="68" t="s">
        <v>174</v>
      </c>
      <c r="H179" s="88">
        <v>4.3807039209234011</v>
      </c>
      <c r="I179" s="84"/>
      <c r="J179" s="88">
        <v>11.435675047778503</v>
      </c>
      <c r="K179" s="84" t="s">
        <v>176</v>
      </c>
      <c r="L179" s="136"/>
      <c r="M179" s="132"/>
      <c r="N179" s="136"/>
      <c r="O179" s="132"/>
      <c r="P179" s="104">
        <v>5.4643076458735322</v>
      </c>
      <c r="Q179" s="100"/>
      <c r="R179" s="104">
        <v>11.265996865496589</v>
      </c>
      <c r="S179" s="100" t="s">
        <v>180</v>
      </c>
      <c r="T179" s="104">
        <v>13.774859580683868</v>
      </c>
      <c r="U179" s="100" t="s">
        <v>180</v>
      </c>
      <c r="V179" s="120">
        <v>7.2430471017572229</v>
      </c>
      <c r="W179" s="116"/>
      <c r="X179" s="120">
        <v>12.198329184929255</v>
      </c>
      <c r="Y179" s="116"/>
      <c r="Z179" s="120">
        <v>14.809392768729269</v>
      </c>
      <c r="AA179" s="116" t="s">
        <v>183</v>
      </c>
      <c r="AB179" s="156">
        <v>7.6851980231869081</v>
      </c>
      <c r="AC179" s="152"/>
      <c r="AD179" s="156">
        <v>7.5727573518528919</v>
      </c>
      <c r="AE179" s="152"/>
      <c r="AF179" s="156">
        <v>4.7994292056445218</v>
      </c>
      <c r="AG179" s="152"/>
      <c r="AH179" s="156">
        <v>4.8734601876605339</v>
      </c>
      <c r="AI179" s="152"/>
      <c r="AJ179" s="173">
        <v>7.1726495776657737</v>
      </c>
      <c r="AK179" s="169"/>
      <c r="AL179" s="173">
        <v>6.1014748641814398</v>
      </c>
      <c r="AM179" s="169"/>
      <c r="AN179" s="38"/>
      <c r="AO179" s="55"/>
      <c r="AP179" s="38"/>
      <c r="AQ179" s="55"/>
      <c r="AR179" s="38"/>
      <c r="AS179" s="55"/>
      <c r="AT179" s="38"/>
      <c r="AU179" s="55"/>
      <c r="AV179" s="38"/>
      <c r="AW179" s="55"/>
      <c r="AX179" s="38"/>
      <c r="AY179" s="55"/>
      <c r="AZ179" s="38"/>
      <c r="BA179" s="55"/>
      <c r="BB179" s="38"/>
      <c r="BC179" s="55"/>
      <c r="BD179" s="72">
        <v>6.0588269421053207</v>
      </c>
      <c r="BE179" s="68"/>
      <c r="BF179" s="72">
        <v>6.7614501037332868</v>
      </c>
      <c r="BG179" s="68"/>
      <c r="BH179" s="72">
        <v>5.7985052618702166</v>
      </c>
      <c r="BI179" s="68"/>
      <c r="BJ179" s="72">
        <v>7.7756067505349025</v>
      </c>
      <c r="BK179" s="68"/>
      <c r="BL179" s="88">
        <v>8.3124961583647856</v>
      </c>
      <c r="BM179" s="84" t="s">
        <v>196</v>
      </c>
      <c r="BN179" s="88">
        <v>4.5775564771041717</v>
      </c>
      <c r="BO179" s="84"/>
      <c r="BP179" s="104">
        <v>9.3314553193994385</v>
      </c>
      <c r="BQ179" s="100" t="s">
        <v>198</v>
      </c>
      <c r="BR179" s="104">
        <v>5.4035749314550623</v>
      </c>
      <c r="BS179" s="100"/>
      <c r="BT179" s="120">
        <v>5.4510172554926788</v>
      </c>
      <c r="BU179" s="116"/>
      <c r="BV179" s="120">
        <v>7.4514785158124566</v>
      </c>
      <c r="BW179" s="116"/>
      <c r="BX179" s="38"/>
      <c r="BY179" s="55"/>
      <c r="BZ179" s="38"/>
      <c r="CA179" s="55"/>
      <c r="CB179" s="38"/>
      <c r="CC179" s="55"/>
      <c r="CD179" s="38"/>
      <c r="CE179" s="55"/>
      <c r="CF179" s="38"/>
      <c r="CG179" s="55"/>
      <c r="CH179" s="38"/>
      <c r="CI179" s="55"/>
      <c r="CJ179" s="38"/>
      <c r="CK179" s="55"/>
      <c r="CL179" s="156">
        <v>6.0183694978614364</v>
      </c>
      <c r="CM179" s="152"/>
      <c r="CN179" s="156">
        <v>8.4196087705665725</v>
      </c>
      <c r="CO179" s="152"/>
      <c r="CP179" s="156">
        <v>8.4312637958102616</v>
      </c>
      <c r="CQ179" s="152"/>
      <c r="CR179" s="173">
        <v>4.1833660243563395</v>
      </c>
      <c r="CS179" s="169"/>
      <c r="CT179" s="173">
        <v>8.8456164078420922</v>
      </c>
      <c r="CU179" s="169" t="s">
        <v>48</v>
      </c>
      <c r="CV179" s="173">
        <v>8.4706147007217307</v>
      </c>
      <c r="CW179" s="169" t="s">
        <v>48</v>
      </c>
      <c r="CX179" s="38"/>
      <c r="CY179" s="55"/>
      <c r="CZ179" s="38"/>
      <c r="DA179" s="55"/>
      <c r="DB179" s="72">
        <v>5.3709527900287766</v>
      </c>
      <c r="DC179" s="68"/>
      <c r="DD179" s="72">
        <v>6.2698124208242305</v>
      </c>
      <c r="DE179" s="68"/>
      <c r="DF179" s="72">
        <v>9.2831313194857348</v>
      </c>
      <c r="DG179" s="68" t="s">
        <v>206</v>
      </c>
    </row>
    <row r="180" spans="1:111" outlineLevel="1" x14ac:dyDescent="0.2">
      <c r="A180" s="30"/>
      <c r="B180" s="30"/>
      <c r="E180" s="66"/>
      <c r="G180" s="66"/>
      <c r="I180" s="82"/>
      <c r="K180" s="82"/>
      <c r="M180" s="130"/>
      <c r="O180" s="130"/>
      <c r="Q180" s="98"/>
      <c r="S180" s="98"/>
      <c r="U180" s="98"/>
      <c r="W180" s="114"/>
      <c r="Y180" s="114"/>
      <c r="AA180" s="114"/>
      <c r="AC180" s="150"/>
      <c r="AE180" s="150"/>
      <c r="AG180" s="150"/>
      <c r="AI180" s="150"/>
      <c r="AK180" s="167"/>
      <c r="AM180" s="167"/>
      <c r="AO180" s="54"/>
      <c r="AQ180" s="54"/>
      <c r="AS180" s="54"/>
      <c r="AU180" s="54"/>
      <c r="AW180" s="54"/>
      <c r="AY180" s="54"/>
      <c r="BA180" s="54"/>
      <c r="BC180" s="54"/>
      <c r="BE180" s="66"/>
      <c r="BG180" s="66"/>
      <c r="BI180" s="66"/>
      <c r="BK180" s="66"/>
      <c r="BM180" s="82"/>
      <c r="BO180" s="82"/>
      <c r="BQ180" s="98"/>
      <c r="BS180" s="98"/>
      <c r="BU180" s="114"/>
      <c r="BW180" s="114"/>
      <c r="BY180" s="54"/>
      <c r="CA180" s="54"/>
      <c r="CC180" s="54"/>
      <c r="CE180" s="54"/>
      <c r="CG180" s="54"/>
      <c r="CI180" s="54"/>
      <c r="CK180" s="54"/>
      <c r="CM180" s="150"/>
      <c r="CO180" s="150"/>
      <c r="CQ180" s="150"/>
      <c r="CS180" s="167"/>
      <c r="CU180" s="167"/>
      <c r="CW180" s="167"/>
      <c r="CY180" s="54"/>
      <c r="DA180" s="54"/>
      <c r="DC180" s="66"/>
      <c r="DE180" s="66"/>
      <c r="DG180" s="66"/>
    </row>
    <row r="181" spans="1:111" x14ac:dyDescent="0.2">
      <c r="A181" s="30"/>
      <c r="B181" s="30"/>
      <c r="E181" s="66"/>
      <c r="G181" s="66"/>
      <c r="I181" s="82"/>
      <c r="K181" s="82"/>
      <c r="M181" s="130"/>
      <c r="O181" s="130"/>
      <c r="Q181" s="98"/>
      <c r="S181" s="98"/>
      <c r="U181" s="98"/>
      <c r="W181" s="114"/>
      <c r="Y181" s="114"/>
      <c r="AA181" s="114"/>
      <c r="AC181" s="150"/>
      <c r="AE181" s="150"/>
      <c r="AG181" s="150"/>
      <c r="AI181" s="150"/>
      <c r="AK181" s="167"/>
      <c r="AM181" s="167"/>
      <c r="AO181" s="54"/>
      <c r="AQ181" s="54"/>
      <c r="AS181" s="54"/>
      <c r="AU181" s="54"/>
      <c r="AW181" s="54"/>
      <c r="AY181" s="54"/>
      <c r="BA181" s="54"/>
      <c r="BC181" s="54"/>
      <c r="BE181" s="66"/>
      <c r="BG181" s="66"/>
      <c r="BI181" s="66"/>
      <c r="BK181" s="66"/>
      <c r="BM181" s="82"/>
      <c r="BO181" s="82"/>
      <c r="BQ181" s="98"/>
      <c r="BS181" s="98"/>
      <c r="BU181" s="114"/>
      <c r="BW181" s="114"/>
      <c r="BY181" s="54"/>
      <c r="CA181" s="54"/>
      <c r="CC181" s="54"/>
      <c r="CE181" s="54"/>
      <c r="CG181" s="54"/>
      <c r="CI181" s="54"/>
      <c r="CK181" s="54"/>
      <c r="CM181" s="150"/>
      <c r="CO181" s="150"/>
      <c r="CQ181" s="150"/>
      <c r="CS181" s="167"/>
      <c r="CU181" s="167"/>
      <c r="CW181" s="167"/>
      <c r="CY181" s="54"/>
      <c r="DA181" s="54"/>
      <c r="DC181" s="66"/>
      <c r="DE181" s="66"/>
      <c r="DG181" s="66"/>
    </row>
    <row r="182" spans="1:111" x14ac:dyDescent="0.2">
      <c r="A182" s="28" t="s">
        <v>155</v>
      </c>
      <c r="B182" s="29" t="s">
        <v>156</v>
      </c>
      <c r="E182" s="66"/>
      <c r="G182" s="66"/>
      <c r="I182" s="82"/>
      <c r="K182" s="82"/>
      <c r="M182" s="130"/>
      <c r="O182" s="130"/>
      <c r="Q182" s="98"/>
      <c r="S182" s="98"/>
      <c r="U182" s="98"/>
      <c r="W182" s="114"/>
      <c r="Y182" s="114"/>
      <c r="AA182" s="114"/>
      <c r="AC182" s="150"/>
      <c r="AE182" s="150"/>
      <c r="AG182" s="150"/>
      <c r="AI182" s="150"/>
      <c r="AK182" s="167"/>
      <c r="AM182" s="167"/>
      <c r="AO182" s="54"/>
      <c r="AQ182" s="54"/>
      <c r="AS182" s="54"/>
      <c r="AU182" s="54"/>
      <c r="AW182" s="54"/>
      <c r="AY182" s="54"/>
      <c r="BA182" s="54"/>
      <c r="BC182" s="54"/>
      <c r="BE182" s="66"/>
      <c r="BG182" s="66"/>
      <c r="BI182" s="66"/>
      <c r="BK182" s="66"/>
      <c r="BM182" s="82"/>
      <c r="BO182" s="82"/>
      <c r="BQ182" s="98"/>
      <c r="BS182" s="98"/>
      <c r="BU182" s="114"/>
      <c r="BW182" s="114"/>
      <c r="BY182" s="54"/>
      <c r="CA182" s="54"/>
      <c r="CC182" s="54"/>
      <c r="CE182" s="54"/>
      <c r="CG182" s="54"/>
      <c r="CI182" s="54"/>
      <c r="CK182" s="54"/>
      <c r="CM182" s="150"/>
      <c r="CO182" s="150"/>
      <c r="CQ182" s="150"/>
      <c r="CS182" s="167"/>
      <c r="CU182" s="167"/>
      <c r="CW182" s="167"/>
      <c r="CY182" s="54"/>
      <c r="DA182" s="54"/>
      <c r="DC182" s="66"/>
      <c r="DE182" s="66"/>
      <c r="DG182" s="66"/>
    </row>
    <row r="183" spans="1:111" outlineLevel="1" x14ac:dyDescent="0.2">
      <c r="A183" s="30"/>
      <c r="B183" s="32" t="s">
        <v>63</v>
      </c>
      <c r="C183" s="31">
        <f>697.229271339924+34.7707286600755</f>
        <v>731.99999999999955</v>
      </c>
      <c r="D183" s="67">
        <f>0+0</f>
        <v>0</v>
      </c>
      <c r="E183" s="68"/>
      <c r="F183" s="67">
        <f>697.229271339924+34.7707286600755</f>
        <v>731.99999999999955</v>
      </c>
      <c r="G183" s="68"/>
      <c r="H183" s="83">
        <f>108.389601570209+6.61039842979146</f>
        <v>115.00000000000045</v>
      </c>
      <c r="I183" s="84"/>
      <c r="J183" s="83">
        <f>588.872678023413+28.1273219765872</f>
        <v>617.00000000000011</v>
      </c>
      <c r="K183" s="84"/>
      <c r="L183" s="131"/>
      <c r="M183" s="132"/>
      <c r="N183" s="131"/>
      <c r="O183" s="132"/>
      <c r="P183" s="99">
        <f>197.775455801689+12.2245441983108</f>
        <v>209.9999999999998</v>
      </c>
      <c r="Q183" s="100"/>
      <c r="R183" s="99">
        <f>183.624369897672+9.37563010232844</f>
        <v>193.00000000000045</v>
      </c>
      <c r="S183" s="100"/>
      <c r="T183" s="99">
        <f>202.167219603481+6.83278039651879</f>
        <v>208.99999999999977</v>
      </c>
      <c r="U183" s="100"/>
      <c r="V183" s="115">
        <f>142.903095748811+7.09690425118887</f>
        <v>149.99999999999989</v>
      </c>
      <c r="W183" s="116"/>
      <c r="X183" s="115">
        <f>159.312800786456+8.68719921354355</f>
        <v>167.99999999999955</v>
      </c>
      <c r="Y183" s="116"/>
      <c r="Z183" s="115">
        <f>187.399553476067+6.60044652393256</f>
        <v>193.99999999999957</v>
      </c>
      <c r="AA183" s="116"/>
      <c r="AB183" s="151">
        <f>208.712119511624+8.28788048837572</f>
        <v>216.99999999999972</v>
      </c>
      <c r="AC183" s="152"/>
      <c r="AD183" s="151">
        <f>325.192210296743+17.807789703257</f>
        <v>343</v>
      </c>
      <c r="AE183" s="152"/>
      <c r="AF183" s="151">
        <f>115.004887560678+3.99511243932177</f>
        <v>118.99999999999977</v>
      </c>
      <c r="AG183" s="152"/>
      <c r="AH183" s="151">
        <f>51.6589616511431+1.34103834885692</f>
        <v>53.000000000000021</v>
      </c>
      <c r="AI183" s="152"/>
      <c r="AJ183" s="168">
        <f>285.680783112892+11.319216887108</f>
        <v>297</v>
      </c>
      <c r="AK183" s="169"/>
      <c r="AL183" s="168">
        <f>411.777536847407+23.2224631525931</f>
        <v>435.00000000000011</v>
      </c>
      <c r="AM183" s="169"/>
      <c r="AN183" s="31"/>
      <c r="AO183" s="55"/>
      <c r="AP183" s="31"/>
      <c r="AQ183" s="55"/>
      <c r="AR183" s="31"/>
      <c r="AS183" s="55"/>
      <c r="AT183" s="31"/>
      <c r="AU183" s="55"/>
      <c r="AV183" s="31"/>
      <c r="AW183" s="55"/>
      <c r="AX183" s="31"/>
      <c r="AY183" s="55"/>
      <c r="AZ183" s="31"/>
      <c r="BA183" s="55"/>
      <c r="BB183" s="31"/>
      <c r="BC183" s="55"/>
      <c r="BD183" s="67">
        <f>114.303400105512+3.69659989448833</f>
        <v>118.00000000000033</v>
      </c>
      <c r="BE183" s="68"/>
      <c r="BF183" s="67">
        <f>320.143729237325+8.85627076267514</f>
        <v>329.00000000000011</v>
      </c>
      <c r="BG183" s="68"/>
      <c r="BH183" s="67">
        <f>154.033955500815+4.96604449918459</f>
        <v>158.9999999999996</v>
      </c>
      <c r="BI183" s="68"/>
      <c r="BJ183" s="67">
        <f>116.914459213077+9.08554078692349</f>
        <v>126.00000000000048</v>
      </c>
      <c r="BK183" s="68"/>
      <c r="BL183" s="83">
        <f>437.557569429027+19.4424305709727</f>
        <v>456.99999999999972</v>
      </c>
      <c r="BM183" s="84"/>
      <c r="BN183" s="83">
        <f>224.770174492461+13.2298255075391</f>
        <v>238.00000000000009</v>
      </c>
      <c r="BO183" s="84"/>
      <c r="BP183" s="99">
        <f>305.676105764278+10.3238942357225</f>
        <v>316.00000000000051</v>
      </c>
      <c r="BQ183" s="100"/>
      <c r="BR183" s="99">
        <f>387.334736028857+23.6652639711435</f>
        <v>411.00000000000045</v>
      </c>
      <c r="BS183" s="100"/>
      <c r="BT183" s="115">
        <f>203.733293028276+11.2667069717237</f>
        <v>214.99999999999969</v>
      </c>
      <c r="BU183" s="116"/>
      <c r="BV183" s="115">
        <f>489.286603261412+22.713396738588</f>
        <v>512</v>
      </c>
      <c r="BW183" s="116"/>
      <c r="BX183" s="31"/>
      <c r="BY183" s="55"/>
      <c r="BZ183" s="31"/>
      <c r="CA183" s="55"/>
      <c r="CB183" s="31"/>
      <c r="CC183" s="55"/>
      <c r="CD183" s="31"/>
      <c r="CE183" s="55"/>
      <c r="CF183" s="31"/>
      <c r="CG183" s="55"/>
      <c r="CH183" s="31"/>
      <c r="CI183" s="55"/>
      <c r="CJ183" s="31"/>
      <c r="CK183" s="55"/>
      <c r="CL183" s="151">
        <f>486.495760961447+20.504239038553</f>
        <v>507</v>
      </c>
      <c r="CM183" s="152"/>
      <c r="CN183" s="151">
        <f>130.574243824643+9.42575617535672</f>
        <v>139.99999999999972</v>
      </c>
      <c r="CO183" s="152"/>
      <c r="CP183" s="151">
        <f>102.931344042743+8.06865595725701</f>
        <v>111.00000000000001</v>
      </c>
      <c r="CQ183" s="152"/>
      <c r="CR183" s="168">
        <f>197.775455801689+12.2245441983108</f>
        <v>209.9999999999998</v>
      </c>
      <c r="CS183" s="169"/>
      <c r="CT183" s="168">
        <f>202.167219603481+6.83278039651879</f>
        <v>208.99999999999977</v>
      </c>
      <c r="CU183" s="169"/>
      <c r="CV183" s="168">
        <f>183.624369897672+9.37563010232844</f>
        <v>193.00000000000045</v>
      </c>
      <c r="CW183" s="169"/>
      <c r="CX183" s="31"/>
      <c r="CY183" s="55"/>
      <c r="CZ183" s="31"/>
      <c r="DA183" s="55"/>
      <c r="DB183" s="67">
        <f>189.847824869749+11.1521751302509</f>
        <v>200.99999999999989</v>
      </c>
      <c r="DC183" s="68"/>
      <c r="DD183" s="67">
        <f>301.510371446147+14.4896285538527</f>
        <v>315.99999999999972</v>
      </c>
      <c r="DE183" s="68"/>
      <c r="DF183" s="67">
        <f>205.898931548757+9.10106845124318</f>
        <v>215.00000000000017</v>
      </c>
      <c r="DG183" s="68"/>
    </row>
    <row r="184" spans="1:111" s="35" customFormat="1" outlineLevel="1" x14ac:dyDescent="0.2">
      <c r="A184" s="30"/>
      <c r="B184" s="33"/>
      <c r="C184" s="34" t="s">
        <v>167</v>
      </c>
      <c r="D184" s="69" t="s">
        <v>167</v>
      </c>
      <c r="E184" s="70"/>
      <c r="F184" s="69" t="s">
        <v>167</v>
      </c>
      <c r="G184" s="70"/>
      <c r="H184" s="85" t="s">
        <v>167</v>
      </c>
      <c r="I184" s="86"/>
      <c r="J184" s="85" t="s">
        <v>167</v>
      </c>
      <c r="K184" s="86"/>
      <c r="L184" s="133"/>
      <c r="M184" s="134"/>
      <c r="N184" s="133"/>
      <c r="O184" s="134"/>
      <c r="P184" s="101" t="s">
        <v>167</v>
      </c>
      <c r="Q184" s="102"/>
      <c r="R184" s="101" t="s">
        <v>167</v>
      </c>
      <c r="S184" s="102"/>
      <c r="T184" s="101" t="s">
        <v>167</v>
      </c>
      <c r="U184" s="102"/>
      <c r="V184" s="117" t="s">
        <v>167</v>
      </c>
      <c r="W184" s="118"/>
      <c r="X184" s="117" t="s">
        <v>167</v>
      </c>
      <c r="Y184" s="118"/>
      <c r="Z184" s="117" t="s">
        <v>167</v>
      </c>
      <c r="AA184" s="118"/>
      <c r="AB184" s="153" t="s">
        <v>167</v>
      </c>
      <c r="AC184" s="154"/>
      <c r="AD184" s="153" t="s">
        <v>167</v>
      </c>
      <c r="AE184" s="154"/>
      <c r="AF184" s="153" t="s">
        <v>167</v>
      </c>
      <c r="AG184" s="154"/>
      <c r="AH184" s="153" t="s">
        <v>167</v>
      </c>
      <c r="AI184" s="154"/>
      <c r="AJ184" s="170" t="s">
        <v>167</v>
      </c>
      <c r="AK184" s="171"/>
      <c r="AL184" s="170" t="s">
        <v>167</v>
      </c>
      <c r="AM184" s="171"/>
      <c r="AN184" s="34"/>
      <c r="AO184" s="56"/>
      <c r="AP184" s="34"/>
      <c r="AQ184" s="56"/>
      <c r="AR184" s="34"/>
      <c r="AS184" s="56"/>
      <c r="AT184" s="34"/>
      <c r="AU184" s="56"/>
      <c r="AV184" s="34"/>
      <c r="AW184" s="56"/>
      <c r="AX184" s="34"/>
      <c r="AY184" s="56"/>
      <c r="AZ184" s="34"/>
      <c r="BA184" s="56"/>
      <c r="BB184" s="34"/>
      <c r="BC184" s="56"/>
      <c r="BD184" s="69" t="s">
        <v>167</v>
      </c>
      <c r="BE184" s="70"/>
      <c r="BF184" s="69" t="s">
        <v>167</v>
      </c>
      <c r="BG184" s="70"/>
      <c r="BH184" s="69" t="s">
        <v>167</v>
      </c>
      <c r="BI184" s="70"/>
      <c r="BJ184" s="69" t="s">
        <v>167</v>
      </c>
      <c r="BK184" s="70"/>
      <c r="BL184" s="85" t="s">
        <v>167</v>
      </c>
      <c r="BM184" s="86"/>
      <c r="BN184" s="85" t="s">
        <v>167</v>
      </c>
      <c r="BO184" s="86"/>
      <c r="BP184" s="101" t="s">
        <v>167</v>
      </c>
      <c r="BQ184" s="102"/>
      <c r="BR184" s="101" t="s">
        <v>167</v>
      </c>
      <c r="BS184" s="102"/>
      <c r="BT184" s="117" t="s">
        <v>167</v>
      </c>
      <c r="BU184" s="118"/>
      <c r="BV184" s="117" t="s">
        <v>167</v>
      </c>
      <c r="BW184" s="118"/>
      <c r="BX184" s="34"/>
      <c r="BY184" s="56"/>
      <c r="BZ184" s="34"/>
      <c r="CA184" s="56"/>
      <c r="CB184" s="34"/>
      <c r="CC184" s="56"/>
      <c r="CD184" s="34"/>
      <c r="CE184" s="56"/>
      <c r="CF184" s="34"/>
      <c r="CG184" s="56"/>
      <c r="CH184" s="34"/>
      <c r="CI184" s="56"/>
      <c r="CJ184" s="34"/>
      <c r="CK184" s="56"/>
      <c r="CL184" s="153" t="s">
        <v>167</v>
      </c>
      <c r="CM184" s="154"/>
      <c r="CN184" s="153" t="s">
        <v>167</v>
      </c>
      <c r="CO184" s="154"/>
      <c r="CP184" s="153" t="s">
        <v>167</v>
      </c>
      <c r="CQ184" s="154"/>
      <c r="CR184" s="170" t="s">
        <v>167</v>
      </c>
      <c r="CS184" s="171"/>
      <c r="CT184" s="170" t="s">
        <v>167</v>
      </c>
      <c r="CU184" s="171"/>
      <c r="CV184" s="170" t="s">
        <v>167</v>
      </c>
      <c r="CW184" s="171"/>
      <c r="CX184" s="34"/>
      <c r="CY184" s="56"/>
      <c r="CZ184" s="34"/>
      <c r="DA184" s="56"/>
      <c r="DB184" s="69" t="s">
        <v>167</v>
      </c>
      <c r="DC184" s="70"/>
      <c r="DD184" s="69" t="s">
        <v>167</v>
      </c>
      <c r="DE184" s="70"/>
      <c r="DF184" s="69" t="s">
        <v>167</v>
      </c>
      <c r="DG184" s="70"/>
    </row>
    <row r="185" spans="1:111" outlineLevel="1" x14ac:dyDescent="0.2">
      <c r="A185" s="30"/>
      <c r="B185" s="30"/>
      <c r="E185" s="66"/>
      <c r="G185" s="66"/>
      <c r="I185" s="82"/>
      <c r="K185" s="82"/>
      <c r="M185" s="130"/>
      <c r="O185" s="130"/>
      <c r="Q185" s="98"/>
      <c r="S185" s="98"/>
      <c r="U185" s="98"/>
      <c r="W185" s="114"/>
      <c r="Y185" s="114"/>
      <c r="AA185" s="114"/>
      <c r="AC185" s="150"/>
      <c r="AE185" s="150"/>
      <c r="AG185" s="150"/>
      <c r="AI185" s="150"/>
      <c r="AK185" s="167"/>
      <c r="AM185" s="167"/>
      <c r="AO185" s="54"/>
      <c r="AQ185" s="54"/>
      <c r="AS185" s="54"/>
      <c r="AU185" s="54"/>
      <c r="AW185" s="54"/>
      <c r="AY185" s="54"/>
      <c r="BA185" s="54"/>
      <c r="BC185" s="54"/>
      <c r="BE185" s="66"/>
      <c r="BG185" s="66"/>
      <c r="BI185" s="66"/>
      <c r="BK185" s="66"/>
      <c r="BM185" s="82"/>
      <c r="BO185" s="82"/>
      <c r="BQ185" s="98"/>
      <c r="BS185" s="98"/>
      <c r="BU185" s="114"/>
      <c r="BW185" s="114"/>
      <c r="BY185" s="54"/>
      <c r="CA185" s="54"/>
      <c r="CC185" s="54"/>
      <c r="CE185" s="54"/>
      <c r="CG185" s="54"/>
      <c r="CI185" s="54"/>
      <c r="CK185" s="54"/>
      <c r="CM185" s="150"/>
      <c r="CO185" s="150"/>
      <c r="CQ185" s="150"/>
      <c r="CS185" s="167"/>
      <c r="CU185" s="167"/>
      <c r="CW185" s="167"/>
      <c r="CY185" s="54"/>
      <c r="DA185" s="54"/>
      <c r="DC185" s="66"/>
      <c r="DE185" s="66"/>
      <c r="DG185" s="66"/>
    </row>
    <row r="186" spans="1:111" outlineLevel="1" x14ac:dyDescent="0.2">
      <c r="A186" s="30"/>
      <c r="B186" s="29" t="s">
        <v>92</v>
      </c>
      <c r="C186" s="36">
        <v>35.246200617868347</v>
      </c>
      <c r="D186" s="71">
        <v>0</v>
      </c>
      <c r="E186" s="68"/>
      <c r="F186" s="71">
        <v>35.246200617868347</v>
      </c>
      <c r="G186" s="68"/>
      <c r="H186" s="87">
        <v>73.231149007132316</v>
      </c>
      <c r="I186" s="84" t="s">
        <v>177</v>
      </c>
      <c r="J186" s="87">
        <v>28.121420668217642</v>
      </c>
      <c r="K186" s="84"/>
      <c r="L186" s="135"/>
      <c r="M186" s="132"/>
      <c r="N186" s="135"/>
      <c r="O186" s="132"/>
      <c r="P186" s="103">
        <v>50.723708500656322</v>
      </c>
      <c r="Q186" s="100" t="s">
        <v>250</v>
      </c>
      <c r="R186" s="103">
        <v>32.5185008355216</v>
      </c>
      <c r="S186" s="100"/>
      <c r="T186" s="103">
        <v>24.529810243122981</v>
      </c>
      <c r="U186" s="100"/>
      <c r="V186" s="119">
        <v>38.464683887988016</v>
      </c>
      <c r="W186" s="116" t="s">
        <v>251</v>
      </c>
      <c r="X186" s="119">
        <v>27.46067140537864</v>
      </c>
      <c r="Y186" s="116"/>
      <c r="Z186" s="119">
        <v>20.969937302951948</v>
      </c>
      <c r="AA186" s="116"/>
      <c r="AB186" s="155">
        <v>37.958341616458497</v>
      </c>
      <c r="AC186" s="152"/>
      <c r="AD186" s="155">
        <v>35.320259880317124</v>
      </c>
      <c r="AE186" s="152"/>
      <c r="AF186" s="155">
        <v>34.624611220673728</v>
      </c>
      <c r="AG186" s="152"/>
      <c r="AH186" s="155">
        <v>24.299981283765455</v>
      </c>
      <c r="AI186" s="152"/>
      <c r="AJ186" s="172">
        <v>37.591568963727561</v>
      </c>
      <c r="AK186" s="169"/>
      <c r="AL186" s="172">
        <v>33.558151970131107</v>
      </c>
      <c r="AM186" s="169"/>
      <c r="AN186" s="36"/>
      <c r="AO186" s="55"/>
      <c r="AP186" s="36"/>
      <c r="AQ186" s="55"/>
      <c r="AR186" s="36"/>
      <c r="AS186" s="55"/>
      <c r="AT186" s="36"/>
      <c r="AU186" s="55"/>
      <c r="AV186" s="36"/>
      <c r="AW186" s="55"/>
      <c r="AX186" s="36"/>
      <c r="AY186" s="55"/>
      <c r="AZ186" s="36"/>
      <c r="BA186" s="55"/>
      <c r="BB186" s="36"/>
      <c r="BC186" s="55"/>
      <c r="BD186" s="71">
        <v>32.28137161318746</v>
      </c>
      <c r="BE186" s="68"/>
      <c r="BF186" s="71">
        <v>34.868116959656774</v>
      </c>
      <c r="BG186" s="68"/>
      <c r="BH186" s="71">
        <v>32.485770317837591</v>
      </c>
      <c r="BI186" s="68"/>
      <c r="BJ186" s="71">
        <v>41.661334929058562</v>
      </c>
      <c r="BK186" s="68"/>
      <c r="BL186" s="87">
        <v>35.677898317022049</v>
      </c>
      <c r="BM186" s="84"/>
      <c r="BN186" s="87">
        <v>35.488129562603518</v>
      </c>
      <c r="BO186" s="84"/>
      <c r="BP186" s="103">
        <v>31.807879781160771</v>
      </c>
      <c r="BQ186" s="100"/>
      <c r="BR186" s="103">
        <v>37.801098395992007</v>
      </c>
      <c r="BS186" s="100"/>
      <c r="BT186" s="119">
        <v>39.196750272511018</v>
      </c>
      <c r="BU186" s="116"/>
      <c r="BV186" s="119">
        <v>33.445141434598618</v>
      </c>
      <c r="BW186" s="116"/>
      <c r="BX186" s="36"/>
      <c r="BY186" s="55"/>
      <c r="BZ186" s="36"/>
      <c r="CA186" s="55"/>
      <c r="CB186" s="36"/>
      <c r="CC186" s="55"/>
      <c r="CD186" s="36"/>
      <c r="CE186" s="55"/>
      <c r="CF186" s="36"/>
      <c r="CG186" s="55"/>
      <c r="CH186" s="36"/>
      <c r="CI186" s="55"/>
      <c r="CJ186" s="36"/>
      <c r="CK186" s="55"/>
      <c r="CL186" s="155">
        <v>33.04066215635789</v>
      </c>
      <c r="CM186" s="152"/>
      <c r="CN186" s="155">
        <v>36.672292915813017</v>
      </c>
      <c r="CO186" s="152"/>
      <c r="CP186" s="155">
        <v>40.273225249720817</v>
      </c>
      <c r="CQ186" s="152"/>
      <c r="CR186" s="172">
        <v>50.723708500656322</v>
      </c>
      <c r="CS186" s="169" t="s">
        <v>243</v>
      </c>
      <c r="CT186" s="172">
        <v>24.529810243122981</v>
      </c>
      <c r="CU186" s="169"/>
      <c r="CV186" s="172">
        <v>32.5185008355216</v>
      </c>
      <c r="CW186" s="169"/>
      <c r="CX186" s="36"/>
      <c r="CY186" s="55"/>
      <c r="CZ186" s="36"/>
      <c r="DA186" s="55"/>
      <c r="DB186" s="71">
        <v>42.653208542838655</v>
      </c>
      <c r="DC186" s="68" t="s">
        <v>208</v>
      </c>
      <c r="DD186" s="71">
        <v>35.481973513009677</v>
      </c>
      <c r="DE186" s="68"/>
      <c r="DF186" s="71">
        <v>28.041179477054964</v>
      </c>
      <c r="DG186" s="68"/>
    </row>
    <row r="187" spans="1:111" outlineLevel="1" x14ac:dyDescent="0.2">
      <c r="A187" s="30"/>
      <c r="B187" s="37" t="s">
        <v>93</v>
      </c>
      <c r="C187" s="38">
        <v>12.149265997869401</v>
      </c>
      <c r="D187" s="72">
        <v>0</v>
      </c>
      <c r="E187" s="68"/>
      <c r="F187" s="72">
        <v>12.149265997869401</v>
      </c>
      <c r="G187" s="68"/>
      <c r="H187" s="88">
        <v>40.983318715802334</v>
      </c>
      <c r="I187" s="84" t="s">
        <v>177</v>
      </c>
      <c r="J187" s="88">
        <v>6.7409058609377892</v>
      </c>
      <c r="K187" s="84"/>
      <c r="L187" s="136"/>
      <c r="M187" s="132"/>
      <c r="N187" s="136"/>
      <c r="O187" s="132"/>
      <c r="P187" s="104">
        <v>22.382809052003555</v>
      </c>
      <c r="Q187" s="100" t="s">
        <v>250</v>
      </c>
      <c r="R187" s="104">
        <v>10.766759733048252</v>
      </c>
      <c r="S187" s="100"/>
      <c r="T187" s="104">
        <v>5.5965816325544822</v>
      </c>
      <c r="U187" s="100"/>
      <c r="V187" s="120">
        <v>11.676425296456443</v>
      </c>
      <c r="W187" s="116" t="s">
        <v>185</v>
      </c>
      <c r="X187" s="120">
        <v>7.4318158714947868</v>
      </c>
      <c r="Y187" s="116"/>
      <c r="Z187" s="120">
        <v>3.5830742378125571</v>
      </c>
      <c r="AA187" s="116"/>
      <c r="AB187" s="156">
        <v>12.727886221869666</v>
      </c>
      <c r="AC187" s="152"/>
      <c r="AD187" s="156">
        <v>11.322046667318272</v>
      </c>
      <c r="AE187" s="152"/>
      <c r="AF187" s="156">
        <v>13.161769543885606</v>
      </c>
      <c r="AG187" s="152"/>
      <c r="AH187" s="156">
        <v>13.562750907947672</v>
      </c>
      <c r="AI187" s="152"/>
      <c r="AJ187" s="173">
        <v>13.71375187773091</v>
      </c>
      <c r="AK187" s="169"/>
      <c r="AL187" s="173">
        <v>11.023247443655162</v>
      </c>
      <c r="AM187" s="169"/>
      <c r="AN187" s="38"/>
      <c r="AO187" s="55"/>
      <c r="AP187" s="38"/>
      <c r="AQ187" s="55"/>
      <c r="AR187" s="38"/>
      <c r="AS187" s="55"/>
      <c r="AT187" s="38"/>
      <c r="AU187" s="55"/>
      <c r="AV187" s="38"/>
      <c r="AW187" s="55"/>
      <c r="AX187" s="38"/>
      <c r="AY187" s="55"/>
      <c r="AZ187" s="38"/>
      <c r="BA187" s="55"/>
      <c r="BB187" s="38"/>
      <c r="BC187" s="55"/>
      <c r="BD187" s="72">
        <v>10.434643642316315</v>
      </c>
      <c r="BE187" s="68"/>
      <c r="BF187" s="72">
        <v>13.015679200407101</v>
      </c>
      <c r="BG187" s="68"/>
      <c r="BH187" s="72">
        <v>11.516452951407437</v>
      </c>
      <c r="BI187" s="68"/>
      <c r="BJ187" s="72">
        <v>12.472884059381409</v>
      </c>
      <c r="BK187" s="68"/>
      <c r="BL187" s="88">
        <v>12.277705076716579</v>
      </c>
      <c r="BM187" s="84"/>
      <c r="BN187" s="88">
        <v>12.020448643232521</v>
      </c>
      <c r="BO187" s="84"/>
      <c r="BP187" s="104">
        <v>10.302405264074965</v>
      </c>
      <c r="BQ187" s="100"/>
      <c r="BR187" s="104">
        <v>13.476771474093361</v>
      </c>
      <c r="BS187" s="100"/>
      <c r="BT187" s="120">
        <v>13.944867753846925</v>
      </c>
      <c r="BU187" s="116"/>
      <c r="BV187" s="120">
        <v>11.251279699358085</v>
      </c>
      <c r="BW187" s="116"/>
      <c r="BX187" s="38"/>
      <c r="BY187" s="55"/>
      <c r="BZ187" s="38"/>
      <c r="CA187" s="55"/>
      <c r="CB187" s="38"/>
      <c r="CC187" s="55"/>
      <c r="CD187" s="38"/>
      <c r="CE187" s="55"/>
      <c r="CF187" s="38"/>
      <c r="CG187" s="55"/>
      <c r="CH187" s="38"/>
      <c r="CI187" s="55"/>
      <c r="CJ187" s="38"/>
      <c r="CK187" s="55"/>
      <c r="CL187" s="156">
        <v>10.394250564568118</v>
      </c>
      <c r="CM187" s="152"/>
      <c r="CN187" s="156">
        <v>14.159351916245324</v>
      </c>
      <c r="CO187" s="152"/>
      <c r="CP187" s="156">
        <v>19.758202274964358</v>
      </c>
      <c r="CQ187" s="152" t="s">
        <v>201</v>
      </c>
      <c r="CR187" s="173">
        <v>22.382809052003555</v>
      </c>
      <c r="CS187" s="169" t="s">
        <v>243</v>
      </c>
      <c r="CT187" s="173">
        <v>5.5965816325544822</v>
      </c>
      <c r="CU187" s="169"/>
      <c r="CV187" s="173">
        <v>10.766759733048252</v>
      </c>
      <c r="CW187" s="169"/>
      <c r="CX187" s="38"/>
      <c r="CY187" s="55"/>
      <c r="CZ187" s="38"/>
      <c r="DA187" s="55"/>
      <c r="DB187" s="72">
        <v>17.53805944142978</v>
      </c>
      <c r="DC187" s="68" t="s">
        <v>208</v>
      </c>
      <c r="DD187" s="72">
        <v>11.294064127402233</v>
      </c>
      <c r="DE187" s="68"/>
      <c r="DF187" s="72">
        <v>8.3961905570244806</v>
      </c>
      <c r="DG187" s="68"/>
    </row>
    <row r="188" spans="1:111" outlineLevel="1" x14ac:dyDescent="0.2">
      <c r="A188" s="30"/>
      <c r="B188" s="37" t="s">
        <v>94</v>
      </c>
      <c r="C188" s="38">
        <v>23.096934619998947</v>
      </c>
      <c r="D188" s="72">
        <v>0</v>
      </c>
      <c r="E188" s="68"/>
      <c r="F188" s="72">
        <v>23.096934619998947</v>
      </c>
      <c r="G188" s="68"/>
      <c r="H188" s="88">
        <v>32.24783029132999</v>
      </c>
      <c r="I188" s="84" t="s">
        <v>177</v>
      </c>
      <c r="J188" s="88">
        <v>21.380514807279855</v>
      </c>
      <c r="K188" s="84"/>
      <c r="L188" s="136"/>
      <c r="M188" s="132"/>
      <c r="N188" s="136"/>
      <c r="O188" s="132"/>
      <c r="P188" s="104">
        <v>28.340899448652763</v>
      </c>
      <c r="Q188" s="100" t="s">
        <v>182</v>
      </c>
      <c r="R188" s="104">
        <v>21.75174110247335</v>
      </c>
      <c r="S188" s="100"/>
      <c r="T188" s="104">
        <v>18.933228610568499</v>
      </c>
      <c r="U188" s="100"/>
      <c r="V188" s="120">
        <v>26.788258591531577</v>
      </c>
      <c r="W188" s="116" t="s">
        <v>185</v>
      </c>
      <c r="X188" s="120">
        <v>20.028855533883853</v>
      </c>
      <c r="Y188" s="116"/>
      <c r="Z188" s="120">
        <v>17.386863065139391</v>
      </c>
      <c r="AA188" s="116"/>
      <c r="AB188" s="156">
        <v>25.23045539458883</v>
      </c>
      <c r="AC188" s="152" t="s">
        <v>173</v>
      </c>
      <c r="AD188" s="156">
        <v>23.998213212998849</v>
      </c>
      <c r="AE188" s="152" t="s">
        <v>173</v>
      </c>
      <c r="AF188" s="156">
        <v>21.46284167678812</v>
      </c>
      <c r="AG188" s="152"/>
      <c r="AH188" s="156">
        <v>10.737230375817784</v>
      </c>
      <c r="AI188" s="152"/>
      <c r="AJ188" s="173">
        <v>23.877817085996647</v>
      </c>
      <c r="AK188" s="169"/>
      <c r="AL188" s="173">
        <v>22.534904526475941</v>
      </c>
      <c r="AM188" s="169"/>
      <c r="AN188" s="38"/>
      <c r="AO188" s="55"/>
      <c r="AP188" s="38"/>
      <c r="AQ188" s="55"/>
      <c r="AR188" s="38"/>
      <c r="AS188" s="55"/>
      <c r="AT188" s="38"/>
      <c r="AU188" s="55"/>
      <c r="AV188" s="38"/>
      <c r="AW188" s="55"/>
      <c r="AX188" s="38"/>
      <c r="AY188" s="55"/>
      <c r="AZ188" s="38"/>
      <c r="BA188" s="55"/>
      <c r="BB188" s="38"/>
      <c r="BC188" s="55"/>
      <c r="BD188" s="72">
        <v>21.846727970871147</v>
      </c>
      <c r="BE188" s="68"/>
      <c r="BF188" s="72">
        <v>21.852437759249675</v>
      </c>
      <c r="BG188" s="68"/>
      <c r="BH188" s="72">
        <v>20.96931736643015</v>
      </c>
      <c r="BI188" s="68"/>
      <c r="BJ188" s="72">
        <v>29.188450869677151</v>
      </c>
      <c r="BK188" s="68"/>
      <c r="BL188" s="88">
        <v>23.40019324030547</v>
      </c>
      <c r="BM188" s="84"/>
      <c r="BN188" s="88">
        <v>23.467680919370999</v>
      </c>
      <c r="BO188" s="84"/>
      <c r="BP188" s="104">
        <v>21.505474517085805</v>
      </c>
      <c r="BQ188" s="100"/>
      <c r="BR188" s="104">
        <v>24.324326921898646</v>
      </c>
      <c r="BS188" s="100"/>
      <c r="BT188" s="120">
        <v>25.251882518664097</v>
      </c>
      <c r="BU188" s="116"/>
      <c r="BV188" s="120">
        <v>22.193861735240535</v>
      </c>
      <c r="BW188" s="116"/>
      <c r="BX188" s="38"/>
      <c r="BY188" s="55"/>
      <c r="BZ188" s="38"/>
      <c r="CA188" s="55"/>
      <c r="CB188" s="38"/>
      <c r="CC188" s="55"/>
      <c r="CD188" s="38"/>
      <c r="CE188" s="55"/>
      <c r="CF188" s="38"/>
      <c r="CG188" s="55"/>
      <c r="CH188" s="38"/>
      <c r="CI188" s="55"/>
      <c r="CJ188" s="38"/>
      <c r="CK188" s="55"/>
      <c r="CL188" s="156">
        <v>22.646411591789775</v>
      </c>
      <c r="CM188" s="152"/>
      <c r="CN188" s="156">
        <v>22.512940999567693</v>
      </c>
      <c r="CO188" s="152"/>
      <c r="CP188" s="156">
        <v>20.515022974756459</v>
      </c>
      <c r="CQ188" s="152"/>
      <c r="CR188" s="173">
        <v>28.340899448652763</v>
      </c>
      <c r="CS188" s="169" t="s">
        <v>204</v>
      </c>
      <c r="CT188" s="173">
        <v>18.933228610568499</v>
      </c>
      <c r="CU188" s="169"/>
      <c r="CV188" s="173">
        <v>21.75174110247335</v>
      </c>
      <c r="CW188" s="169"/>
      <c r="CX188" s="38"/>
      <c r="CY188" s="55"/>
      <c r="CZ188" s="38"/>
      <c r="DA188" s="55"/>
      <c r="DB188" s="72">
        <v>25.115149101408871</v>
      </c>
      <c r="DC188" s="68"/>
      <c r="DD188" s="72">
        <v>24.187909385607441</v>
      </c>
      <c r="DE188" s="68"/>
      <c r="DF188" s="72">
        <v>19.644988920030482</v>
      </c>
      <c r="DG188" s="68"/>
    </row>
    <row r="189" spans="1:111" outlineLevel="1" x14ac:dyDescent="0.2">
      <c r="A189" s="30"/>
      <c r="B189" s="29"/>
      <c r="E189" s="66"/>
      <c r="G189" s="66"/>
      <c r="I189" s="82"/>
      <c r="K189" s="82"/>
      <c r="M189" s="130"/>
      <c r="O189" s="130"/>
      <c r="Q189" s="98"/>
      <c r="S189" s="98"/>
      <c r="U189" s="98"/>
      <c r="W189" s="114"/>
      <c r="Y189" s="114"/>
      <c r="AA189" s="114"/>
      <c r="AC189" s="150"/>
      <c r="AE189" s="150"/>
      <c r="AG189" s="150"/>
      <c r="AI189" s="150"/>
      <c r="AK189" s="167"/>
      <c r="AM189" s="167"/>
      <c r="AO189" s="54"/>
      <c r="AQ189" s="54"/>
      <c r="AS189" s="54"/>
      <c r="AU189" s="54"/>
      <c r="AW189" s="54"/>
      <c r="AY189" s="54"/>
      <c r="BA189" s="54"/>
      <c r="BC189" s="54"/>
      <c r="BE189" s="66"/>
      <c r="BG189" s="66"/>
      <c r="BI189" s="66"/>
      <c r="BK189" s="66"/>
      <c r="BM189" s="82"/>
      <c r="BO189" s="82"/>
      <c r="BQ189" s="98"/>
      <c r="BS189" s="98"/>
      <c r="BU189" s="114"/>
      <c r="BW189" s="114"/>
      <c r="BY189" s="54"/>
      <c r="CA189" s="54"/>
      <c r="CC189" s="54"/>
      <c r="CE189" s="54"/>
      <c r="CG189" s="54"/>
      <c r="CI189" s="54"/>
      <c r="CK189" s="54"/>
      <c r="CM189" s="150"/>
      <c r="CO189" s="150"/>
      <c r="CQ189" s="150"/>
      <c r="CS189" s="167"/>
      <c r="CU189" s="167"/>
      <c r="CW189" s="167"/>
      <c r="CY189" s="54"/>
      <c r="DA189" s="54"/>
      <c r="DC189" s="66"/>
      <c r="DE189" s="66"/>
      <c r="DG189" s="66"/>
    </row>
    <row r="190" spans="1:111" outlineLevel="1" x14ac:dyDescent="0.2">
      <c r="A190" s="30"/>
      <c r="B190" s="32" t="s">
        <v>95</v>
      </c>
      <c r="C190" s="38">
        <v>44.775373134940054</v>
      </c>
      <c r="D190" s="72">
        <v>0</v>
      </c>
      <c r="E190" s="68"/>
      <c r="F190" s="72">
        <v>44.775373134940054</v>
      </c>
      <c r="G190" s="68"/>
      <c r="H190" s="88">
        <v>19.820680087117026</v>
      </c>
      <c r="I190" s="84"/>
      <c r="J190" s="88">
        <v>49.456087581483033</v>
      </c>
      <c r="K190" s="84" t="s">
        <v>176</v>
      </c>
      <c r="L190" s="136"/>
      <c r="M190" s="132"/>
      <c r="N190" s="136"/>
      <c r="O190" s="132"/>
      <c r="P190" s="104">
        <v>35.185758176007802</v>
      </c>
      <c r="Q190" s="100"/>
      <c r="R190" s="104">
        <v>51.078601305697113</v>
      </c>
      <c r="S190" s="100" t="s">
        <v>180</v>
      </c>
      <c r="T190" s="104">
        <v>44.355307724559808</v>
      </c>
      <c r="U190" s="100"/>
      <c r="V190" s="120">
        <v>44.13100232694633</v>
      </c>
      <c r="W190" s="116"/>
      <c r="X190" s="120">
        <v>54.440952268286317</v>
      </c>
      <c r="Y190" s="116"/>
      <c r="Z190" s="120">
        <v>47.232278203934442</v>
      </c>
      <c r="AA190" s="116"/>
      <c r="AB190" s="156">
        <v>43.321667163253061</v>
      </c>
      <c r="AC190" s="152"/>
      <c r="AD190" s="156">
        <v>44.570039963846945</v>
      </c>
      <c r="AE190" s="152"/>
      <c r="AF190" s="156">
        <v>45.727117369122077</v>
      </c>
      <c r="AG190" s="152"/>
      <c r="AH190" s="156">
        <v>50.448243302637309</v>
      </c>
      <c r="AI190" s="152"/>
      <c r="AJ190" s="173">
        <v>41.551369690860696</v>
      </c>
      <c r="AK190" s="169"/>
      <c r="AL190" s="173">
        <v>47.095808073736251</v>
      </c>
      <c r="AM190" s="169"/>
      <c r="AN190" s="38"/>
      <c r="AO190" s="55"/>
      <c r="AP190" s="38"/>
      <c r="AQ190" s="55"/>
      <c r="AR190" s="38"/>
      <c r="AS190" s="55"/>
      <c r="AT190" s="38"/>
      <c r="AU190" s="55"/>
      <c r="AV190" s="38"/>
      <c r="AW190" s="55"/>
      <c r="AX190" s="38"/>
      <c r="AY190" s="55"/>
      <c r="AZ190" s="38"/>
      <c r="BA190" s="55"/>
      <c r="BB190" s="38"/>
      <c r="BC190" s="55"/>
      <c r="BD190" s="72">
        <v>46.575588602428269</v>
      </c>
      <c r="BE190" s="68"/>
      <c r="BF190" s="72">
        <v>45.450185904949031</v>
      </c>
      <c r="BG190" s="68"/>
      <c r="BH190" s="72">
        <v>46.220121170509223</v>
      </c>
      <c r="BI190" s="68"/>
      <c r="BJ190" s="72">
        <v>40.231531999743254</v>
      </c>
      <c r="BK190" s="68"/>
      <c r="BL190" s="88">
        <v>41.930801566803723</v>
      </c>
      <c r="BM190" s="84"/>
      <c r="BN190" s="88">
        <v>50.174345132200479</v>
      </c>
      <c r="BO190" s="84" t="s">
        <v>195</v>
      </c>
      <c r="BP190" s="104">
        <v>43.125107294619617</v>
      </c>
      <c r="BQ190" s="100"/>
      <c r="BR190" s="104">
        <v>46.130421128685136</v>
      </c>
      <c r="BS190" s="100"/>
      <c r="BT190" s="120">
        <v>41.679240656317511</v>
      </c>
      <c r="BU190" s="116"/>
      <c r="BV190" s="120">
        <v>46.264331043121892</v>
      </c>
      <c r="BW190" s="116"/>
      <c r="BX190" s="38"/>
      <c r="BY190" s="55"/>
      <c r="BZ190" s="38"/>
      <c r="CA190" s="55"/>
      <c r="CB190" s="38"/>
      <c r="CC190" s="55"/>
      <c r="CD190" s="38"/>
      <c r="CE190" s="55"/>
      <c r="CF190" s="38"/>
      <c r="CG190" s="55"/>
      <c r="CH190" s="38"/>
      <c r="CI190" s="55"/>
      <c r="CJ190" s="38"/>
      <c r="CK190" s="55"/>
      <c r="CL190" s="156">
        <v>47.455623815615212</v>
      </c>
      <c r="CM190" s="152"/>
      <c r="CN190" s="156">
        <v>41.94973967633404</v>
      </c>
      <c r="CO190" s="152"/>
      <c r="CP190" s="156">
        <v>38.396401724982674</v>
      </c>
      <c r="CQ190" s="152"/>
      <c r="CR190" s="173">
        <v>35.185758176007802</v>
      </c>
      <c r="CS190" s="169"/>
      <c r="CT190" s="173">
        <v>44.355307724559808</v>
      </c>
      <c r="CU190" s="169"/>
      <c r="CV190" s="173">
        <v>51.078601305697113</v>
      </c>
      <c r="CW190" s="169" t="s">
        <v>48</v>
      </c>
      <c r="CX190" s="38"/>
      <c r="CY190" s="55"/>
      <c r="CZ190" s="38"/>
      <c r="DA190" s="55"/>
      <c r="DB190" s="72">
        <v>40.585154577587495</v>
      </c>
      <c r="DC190" s="68"/>
      <c r="DD190" s="72">
        <v>45.588735871325277</v>
      </c>
      <c r="DE190" s="68"/>
      <c r="DF190" s="72">
        <v>47.478545820886438</v>
      </c>
      <c r="DG190" s="68"/>
    </row>
    <row r="191" spans="1:111" outlineLevel="1" x14ac:dyDescent="0.2">
      <c r="A191" s="30"/>
      <c r="B191" s="29"/>
      <c r="E191" s="66"/>
      <c r="G191" s="66"/>
      <c r="I191" s="82"/>
      <c r="K191" s="82"/>
      <c r="M191" s="130"/>
      <c r="O191" s="130"/>
      <c r="Q191" s="98"/>
      <c r="S191" s="98"/>
      <c r="U191" s="98"/>
      <c r="W191" s="114"/>
      <c r="Y191" s="114"/>
      <c r="AA191" s="114"/>
      <c r="AC191" s="150"/>
      <c r="AE191" s="150"/>
      <c r="AG191" s="150"/>
      <c r="AI191" s="150"/>
      <c r="AK191" s="167"/>
      <c r="AM191" s="167"/>
      <c r="AO191" s="54"/>
      <c r="AQ191" s="54"/>
      <c r="AS191" s="54"/>
      <c r="AU191" s="54"/>
      <c r="AW191" s="54"/>
      <c r="AY191" s="54"/>
      <c r="BA191" s="54"/>
      <c r="BC191" s="54"/>
      <c r="BE191" s="66"/>
      <c r="BG191" s="66"/>
      <c r="BI191" s="66"/>
      <c r="BK191" s="66"/>
      <c r="BM191" s="82"/>
      <c r="BO191" s="82"/>
      <c r="BQ191" s="98"/>
      <c r="BS191" s="98"/>
      <c r="BU191" s="114"/>
      <c r="BW191" s="114"/>
      <c r="BY191" s="54"/>
      <c r="CA191" s="54"/>
      <c r="CC191" s="54"/>
      <c r="CE191" s="54"/>
      <c r="CG191" s="54"/>
      <c r="CI191" s="54"/>
      <c r="CK191" s="54"/>
      <c r="CM191" s="150"/>
      <c r="CO191" s="150"/>
      <c r="CQ191" s="150"/>
      <c r="CS191" s="167"/>
      <c r="CU191" s="167"/>
      <c r="CW191" s="167"/>
      <c r="CY191" s="54"/>
      <c r="DA191" s="54"/>
      <c r="DC191" s="66"/>
      <c r="DE191" s="66"/>
      <c r="DG191" s="66"/>
    </row>
    <row r="192" spans="1:111" outlineLevel="1" x14ac:dyDescent="0.2">
      <c r="A192" s="30"/>
      <c r="B192" s="29" t="s">
        <v>96</v>
      </c>
      <c r="C192" s="36">
        <v>19.978426247191603</v>
      </c>
      <c r="D192" s="71">
        <v>0</v>
      </c>
      <c r="E192" s="68"/>
      <c r="F192" s="71">
        <v>19.978426247191603</v>
      </c>
      <c r="G192" s="68"/>
      <c r="H192" s="87">
        <v>6.9481709057506587</v>
      </c>
      <c r="I192" s="84"/>
      <c r="J192" s="87">
        <v>22.422491750299326</v>
      </c>
      <c r="K192" s="84" t="s">
        <v>176</v>
      </c>
      <c r="L192" s="135"/>
      <c r="M192" s="132"/>
      <c r="N192" s="135"/>
      <c r="O192" s="132"/>
      <c r="P192" s="103">
        <v>14.090533323335874</v>
      </c>
      <c r="Q192" s="100"/>
      <c r="R192" s="103">
        <v>16.40289785878128</v>
      </c>
      <c r="S192" s="100"/>
      <c r="T192" s="103">
        <v>31.114882032317215</v>
      </c>
      <c r="U192" s="100" t="s">
        <v>254</v>
      </c>
      <c r="V192" s="119">
        <v>17.40431378506565</v>
      </c>
      <c r="W192" s="116"/>
      <c r="X192" s="119">
        <v>18.098376326335046</v>
      </c>
      <c r="Y192" s="116"/>
      <c r="Z192" s="119">
        <v>31.797784493113607</v>
      </c>
      <c r="AA192" s="116" t="s">
        <v>257</v>
      </c>
      <c r="AB192" s="155">
        <v>18.719991220288453</v>
      </c>
      <c r="AC192" s="152"/>
      <c r="AD192" s="155">
        <v>20.109700155835942</v>
      </c>
      <c r="AE192" s="152"/>
      <c r="AF192" s="155">
        <v>19.648271410204202</v>
      </c>
      <c r="AG192" s="152"/>
      <c r="AH192" s="155">
        <v>25.25177541359724</v>
      </c>
      <c r="AI192" s="152"/>
      <c r="AJ192" s="172">
        <v>20.857061345411744</v>
      </c>
      <c r="AK192" s="169"/>
      <c r="AL192" s="172">
        <v>19.346039956132643</v>
      </c>
      <c r="AM192" s="169"/>
      <c r="AN192" s="36"/>
      <c r="AO192" s="55"/>
      <c r="AP192" s="36"/>
      <c r="AQ192" s="55"/>
      <c r="AR192" s="36"/>
      <c r="AS192" s="55"/>
      <c r="AT192" s="36"/>
      <c r="AU192" s="55"/>
      <c r="AV192" s="36"/>
      <c r="AW192" s="55"/>
      <c r="AX192" s="36"/>
      <c r="AY192" s="55"/>
      <c r="AZ192" s="36"/>
      <c r="BA192" s="55"/>
      <c r="BB192" s="36"/>
      <c r="BC192" s="55"/>
      <c r="BD192" s="71">
        <v>21.143039784384275</v>
      </c>
      <c r="BE192" s="68"/>
      <c r="BF192" s="71">
        <v>19.681697135394188</v>
      </c>
      <c r="BG192" s="68"/>
      <c r="BH192" s="71">
        <v>21.294108511653189</v>
      </c>
      <c r="BI192" s="68"/>
      <c r="BJ192" s="71">
        <v>18.107133071198195</v>
      </c>
      <c r="BK192" s="68"/>
      <c r="BL192" s="87">
        <v>22.391300116174232</v>
      </c>
      <c r="BM192" s="84" t="s">
        <v>196</v>
      </c>
      <c r="BN192" s="87">
        <v>14.337525305195999</v>
      </c>
      <c r="BO192" s="84"/>
      <c r="BP192" s="103">
        <v>25.067012924219618</v>
      </c>
      <c r="BQ192" s="100" t="s">
        <v>198</v>
      </c>
      <c r="BR192" s="103">
        <v>16.068480475322851</v>
      </c>
      <c r="BS192" s="100"/>
      <c r="BT192" s="119">
        <v>19.124009071171464</v>
      </c>
      <c r="BU192" s="116"/>
      <c r="BV192" s="119">
        <v>20.290527522279486</v>
      </c>
      <c r="BW192" s="116"/>
      <c r="BX192" s="36"/>
      <c r="BY192" s="55"/>
      <c r="BZ192" s="36"/>
      <c r="CA192" s="55"/>
      <c r="CB192" s="36"/>
      <c r="CC192" s="55"/>
      <c r="CD192" s="36"/>
      <c r="CE192" s="55"/>
      <c r="CF192" s="36"/>
      <c r="CG192" s="55"/>
      <c r="CH192" s="36"/>
      <c r="CI192" s="55"/>
      <c r="CJ192" s="36"/>
      <c r="CK192" s="55"/>
      <c r="CL192" s="155">
        <v>19.503714028026902</v>
      </c>
      <c r="CM192" s="152"/>
      <c r="CN192" s="155">
        <v>21.377967407852939</v>
      </c>
      <c r="CO192" s="152"/>
      <c r="CP192" s="155">
        <v>21.33037302529651</v>
      </c>
      <c r="CQ192" s="152"/>
      <c r="CR192" s="172">
        <v>14.090533323335874</v>
      </c>
      <c r="CS192" s="169"/>
      <c r="CT192" s="172">
        <v>31.114882032317215</v>
      </c>
      <c r="CU192" s="169" t="s">
        <v>255</v>
      </c>
      <c r="CV192" s="172">
        <v>16.40289785878128</v>
      </c>
      <c r="CW192" s="169"/>
      <c r="CX192" s="36"/>
      <c r="CY192" s="55"/>
      <c r="CZ192" s="36"/>
      <c r="DA192" s="55"/>
      <c r="DB192" s="71">
        <v>16.761636879573853</v>
      </c>
      <c r="DC192" s="68"/>
      <c r="DD192" s="71">
        <v>18.929290615665053</v>
      </c>
      <c r="DE192" s="68"/>
      <c r="DF192" s="71">
        <v>24.480274702058608</v>
      </c>
      <c r="DG192" s="68"/>
    </row>
    <row r="193" spans="1:111" outlineLevel="1" x14ac:dyDescent="0.2">
      <c r="A193" s="30"/>
      <c r="B193" s="37" t="s">
        <v>97</v>
      </c>
      <c r="C193" s="38">
        <v>6.6559918120285699</v>
      </c>
      <c r="D193" s="72">
        <v>0</v>
      </c>
      <c r="E193" s="68"/>
      <c r="F193" s="72">
        <v>6.6559918120285699</v>
      </c>
      <c r="G193" s="68"/>
      <c r="H193" s="88">
        <v>6.0675727806003747</v>
      </c>
      <c r="I193" s="84"/>
      <c r="J193" s="88">
        <v>6.7663606895679012</v>
      </c>
      <c r="K193" s="84"/>
      <c r="L193" s="136"/>
      <c r="M193" s="132"/>
      <c r="N193" s="136"/>
      <c r="O193" s="132"/>
      <c r="P193" s="104">
        <v>5.3796456153705243</v>
      </c>
      <c r="Q193" s="100"/>
      <c r="R193" s="104">
        <v>5.4909338121581364</v>
      </c>
      <c r="S193" s="100"/>
      <c r="T193" s="104">
        <v>9.6217421462756771</v>
      </c>
      <c r="U193" s="100"/>
      <c r="V193" s="120">
        <v>5.1200180962406803</v>
      </c>
      <c r="W193" s="116"/>
      <c r="X193" s="120">
        <v>5.5986512683297143</v>
      </c>
      <c r="Y193" s="116"/>
      <c r="Z193" s="120">
        <v>9.2191613146801874</v>
      </c>
      <c r="AA193" s="116"/>
      <c r="AB193" s="156">
        <v>8.2271769617288335</v>
      </c>
      <c r="AC193" s="152"/>
      <c r="AD193" s="156">
        <v>5.9130624343133391</v>
      </c>
      <c r="AE193" s="152"/>
      <c r="AF193" s="156">
        <v>6.403633408436578</v>
      </c>
      <c r="AG193" s="152"/>
      <c r="AH193" s="156">
        <v>6.0789909215747722</v>
      </c>
      <c r="AI193" s="152"/>
      <c r="AJ193" s="173">
        <v>8.2919813627250587</v>
      </c>
      <c r="AK193" s="169"/>
      <c r="AL193" s="173">
        <v>5.4785094120289406</v>
      </c>
      <c r="AM193" s="169"/>
      <c r="AN193" s="38"/>
      <c r="AO193" s="55"/>
      <c r="AP193" s="38"/>
      <c r="AQ193" s="55"/>
      <c r="AR193" s="38"/>
      <c r="AS193" s="55"/>
      <c r="AT193" s="38"/>
      <c r="AU193" s="55"/>
      <c r="AV193" s="38"/>
      <c r="AW193" s="55"/>
      <c r="AX193" s="38"/>
      <c r="AY193" s="55"/>
      <c r="AZ193" s="38"/>
      <c r="BA193" s="55"/>
      <c r="BB193" s="38"/>
      <c r="BC193" s="55"/>
      <c r="BD193" s="72">
        <v>5.8318180051226012</v>
      </c>
      <c r="BE193" s="68"/>
      <c r="BF193" s="72">
        <v>5.4433808873649614</v>
      </c>
      <c r="BG193" s="68"/>
      <c r="BH193" s="72">
        <v>9.4455080094325474</v>
      </c>
      <c r="BI193" s="68"/>
      <c r="BJ193" s="72">
        <v>6.5282554485527013</v>
      </c>
      <c r="BK193" s="68"/>
      <c r="BL193" s="88">
        <v>7.591406469126234</v>
      </c>
      <c r="BM193" s="84"/>
      <c r="BN193" s="88">
        <v>4.8445289655031392</v>
      </c>
      <c r="BO193" s="84"/>
      <c r="BP193" s="104">
        <v>9.7126786716620686</v>
      </c>
      <c r="BQ193" s="100" t="s">
        <v>198</v>
      </c>
      <c r="BR193" s="104">
        <v>4.4474297355982992</v>
      </c>
      <c r="BS193" s="100"/>
      <c r="BT193" s="120">
        <v>5.7274299123132018</v>
      </c>
      <c r="BU193" s="116"/>
      <c r="BV193" s="120">
        <v>7.1381789162774583</v>
      </c>
      <c r="BW193" s="116"/>
      <c r="BX193" s="38"/>
      <c r="BY193" s="55"/>
      <c r="BZ193" s="38"/>
      <c r="CA193" s="55"/>
      <c r="CB193" s="38"/>
      <c r="CC193" s="55"/>
      <c r="CD193" s="38"/>
      <c r="CE193" s="55"/>
      <c r="CF193" s="38"/>
      <c r="CG193" s="55"/>
      <c r="CH193" s="38"/>
      <c r="CI193" s="55"/>
      <c r="CJ193" s="38"/>
      <c r="CK193" s="55"/>
      <c r="CL193" s="156">
        <v>6.0731705225675245</v>
      </c>
      <c r="CM193" s="152"/>
      <c r="CN193" s="156">
        <v>7.2917692611318907</v>
      </c>
      <c r="CO193" s="152"/>
      <c r="CP193" s="156">
        <v>7.3356786270762253</v>
      </c>
      <c r="CQ193" s="152"/>
      <c r="CR193" s="173">
        <v>5.3796456153705243</v>
      </c>
      <c r="CS193" s="169"/>
      <c r="CT193" s="173">
        <v>9.6217421462756771</v>
      </c>
      <c r="CU193" s="169"/>
      <c r="CV193" s="173">
        <v>5.4909338121581364</v>
      </c>
      <c r="CW193" s="169"/>
      <c r="CX193" s="38"/>
      <c r="CY193" s="55"/>
      <c r="CZ193" s="38"/>
      <c r="DA193" s="55"/>
      <c r="DB193" s="72">
        <v>7.9742121770299201</v>
      </c>
      <c r="DC193" s="68"/>
      <c r="DD193" s="72">
        <v>6.1291646386272323</v>
      </c>
      <c r="DE193" s="68"/>
      <c r="DF193" s="72">
        <v>6.1984633807468699</v>
      </c>
      <c r="DG193" s="68"/>
    </row>
    <row r="194" spans="1:111" outlineLevel="1" x14ac:dyDescent="0.2">
      <c r="A194" s="30"/>
      <c r="B194" s="37" t="s">
        <v>98</v>
      </c>
      <c r="C194" s="38">
        <v>13.322434435163032</v>
      </c>
      <c r="D194" s="72">
        <v>0</v>
      </c>
      <c r="E194" s="68"/>
      <c r="F194" s="72">
        <v>13.322434435163032</v>
      </c>
      <c r="G194" s="68"/>
      <c r="H194" s="88">
        <v>0.88059812515028391</v>
      </c>
      <c r="I194" s="84"/>
      <c r="J194" s="88">
        <v>15.656131060731425</v>
      </c>
      <c r="K194" s="84" t="s">
        <v>176</v>
      </c>
      <c r="L194" s="136"/>
      <c r="M194" s="132"/>
      <c r="N194" s="136"/>
      <c r="O194" s="132"/>
      <c r="P194" s="104">
        <v>8.7108877079653499</v>
      </c>
      <c r="Q194" s="100"/>
      <c r="R194" s="104">
        <v>10.911964046623142</v>
      </c>
      <c r="S194" s="100"/>
      <c r="T194" s="104">
        <v>21.49313988604154</v>
      </c>
      <c r="U194" s="100" t="s">
        <v>254</v>
      </c>
      <c r="V194" s="120">
        <v>12.284295688824969</v>
      </c>
      <c r="W194" s="116"/>
      <c r="X194" s="120">
        <v>12.49972505800533</v>
      </c>
      <c r="Y194" s="116"/>
      <c r="Z194" s="120">
        <v>22.578623178433421</v>
      </c>
      <c r="AA194" s="116" t="s">
        <v>257</v>
      </c>
      <c r="AB194" s="156">
        <v>10.492814258559617</v>
      </c>
      <c r="AC194" s="152"/>
      <c r="AD194" s="156">
        <v>14.196637721522603</v>
      </c>
      <c r="AE194" s="152"/>
      <c r="AF194" s="156">
        <v>13.244638001767624</v>
      </c>
      <c r="AG194" s="152"/>
      <c r="AH194" s="156">
        <v>19.172784492022469</v>
      </c>
      <c r="AI194" s="152"/>
      <c r="AJ194" s="173">
        <v>12.565079982686685</v>
      </c>
      <c r="AK194" s="169"/>
      <c r="AL194" s="173">
        <v>13.867530544103703</v>
      </c>
      <c r="AM194" s="169"/>
      <c r="AN194" s="38"/>
      <c r="AO194" s="55"/>
      <c r="AP194" s="38"/>
      <c r="AQ194" s="55"/>
      <c r="AR194" s="38"/>
      <c r="AS194" s="55"/>
      <c r="AT194" s="38"/>
      <c r="AU194" s="55"/>
      <c r="AV194" s="38"/>
      <c r="AW194" s="55"/>
      <c r="AX194" s="38"/>
      <c r="AY194" s="55"/>
      <c r="AZ194" s="38"/>
      <c r="BA194" s="55"/>
      <c r="BB194" s="38"/>
      <c r="BC194" s="55"/>
      <c r="BD194" s="72">
        <v>15.311221779261672</v>
      </c>
      <c r="BE194" s="68"/>
      <c r="BF194" s="72">
        <v>14.238316248029227</v>
      </c>
      <c r="BG194" s="68"/>
      <c r="BH194" s="72">
        <v>11.848600502220641</v>
      </c>
      <c r="BI194" s="68"/>
      <c r="BJ194" s="72">
        <v>11.578877622645495</v>
      </c>
      <c r="BK194" s="68"/>
      <c r="BL194" s="88">
        <v>14.799893647047998</v>
      </c>
      <c r="BM194" s="84"/>
      <c r="BN194" s="88">
        <v>9.4929963396928621</v>
      </c>
      <c r="BO194" s="84"/>
      <c r="BP194" s="104">
        <v>15.354334252557551</v>
      </c>
      <c r="BQ194" s="100"/>
      <c r="BR194" s="104">
        <v>11.621050739724552</v>
      </c>
      <c r="BS194" s="100"/>
      <c r="BT194" s="120">
        <v>13.396579158858263</v>
      </c>
      <c r="BU194" s="116"/>
      <c r="BV194" s="120">
        <v>13.152348606002029</v>
      </c>
      <c r="BW194" s="116"/>
      <c r="BX194" s="38"/>
      <c r="BY194" s="55"/>
      <c r="BZ194" s="38"/>
      <c r="CA194" s="55"/>
      <c r="CB194" s="38"/>
      <c r="CC194" s="55"/>
      <c r="CD194" s="38"/>
      <c r="CE194" s="55"/>
      <c r="CF194" s="38"/>
      <c r="CG194" s="55"/>
      <c r="CH194" s="38"/>
      <c r="CI194" s="55"/>
      <c r="CJ194" s="38"/>
      <c r="CK194" s="55"/>
      <c r="CL194" s="156">
        <v>13.430543505459376</v>
      </c>
      <c r="CM194" s="152"/>
      <c r="CN194" s="156">
        <v>14.086198146721049</v>
      </c>
      <c r="CO194" s="152"/>
      <c r="CP194" s="156">
        <v>13.994694398220284</v>
      </c>
      <c r="CQ194" s="152"/>
      <c r="CR194" s="173">
        <v>8.7108877079653499</v>
      </c>
      <c r="CS194" s="169"/>
      <c r="CT194" s="173">
        <v>21.49313988604154</v>
      </c>
      <c r="CU194" s="169" t="s">
        <v>255</v>
      </c>
      <c r="CV194" s="173">
        <v>10.911964046623142</v>
      </c>
      <c r="CW194" s="169"/>
      <c r="CX194" s="38"/>
      <c r="CY194" s="55"/>
      <c r="CZ194" s="38"/>
      <c r="DA194" s="55"/>
      <c r="DB194" s="72">
        <v>8.7874247025439338</v>
      </c>
      <c r="DC194" s="68"/>
      <c r="DD194" s="72">
        <v>12.800125977037823</v>
      </c>
      <c r="DE194" s="68"/>
      <c r="DF194" s="72">
        <v>18.281811321311736</v>
      </c>
      <c r="DG194" s="68" t="s">
        <v>206</v>
      </c>
    </row>
    <row r="195" spans="1:111" outlineLevel="1" x14ac:dyDescent="0.2">
      <c r="A195" s="30"/>
      <c r="B195" s="30"/>
      <c r="E195" s="66"/>
      <c r="G195" s="66"/>
      <c r="I195" s="82"/>
      <c r="K195" s="82"/>
      <c r="M195" s="130"/>
      <c r="O195" s="130"/>
      <c r="Q195" s="98"/>
      <c r="S195" s="98"/>
      <c r="U195" s="98"/>
      <c r="W195" s="114"/>
      <c r="Y195" s="114"/>
      <c r="AA195" s="114"/>
      <c r="AC195" s="150"/>
      <c r="AE195" s="150"/>
      <c r="AG195" s="150"/>
      <c r="AI195" s="150"/>
      <c r="AK195" s="167"/>
      <c r="AM195" s="167"/>
      <c r="AO195" s="54"/>
      <c r="AQ195" s="54"/>
      <c r="AS195" s="54"/>
      <c r="AU195" s="54"/>
      <c r="AW195" s="54"/>
      <c r="AY195" s="54"/>
      <c r="BA195" s="54"/>
      <c r="BC195" s="54"/>
      <c r="BE195" s="66"/>
      <c r="BG195" s="66"/>
      <c r="BI195" s="66"/>
      <c r="BK195" s="66"/>
      <c r="BM195" s="82"/>
      <c r="BO195" s="82"/>
      <c r="BQ195" s="98"/>
      <c r="BS195" s="98"/>
      <c r="BU195" s="114"/>
      <c r="BW195" s="114"/>
      <c r="BY195" s="54"/>
      <c r="CA195" s="54"/>
      <c r="CC195" s="54"/>
      <c r="CE195" s="54"/>
      <c r="CG195" s="54"/>
      <c r="CI195" s="54"/>
      <c r="CK195" s="54"/>
      <c r="CM195" s="150"/>
      <c r="CO195" s="150"/>
      <c r="CQ195" s="150"/>
      <c r="CS195" s="167"/>
      <c r="CU195" s="167"/>
      <c r="CW195" s="167"/>
      <c r="CY195" s="54"/>
      <c r="DA195" s="54"/>
      <c r="DC195" s="66"/>
      <c r="DE195" s="66"/>
      <c r="DG195" s="66"/>
    </row>
    <row r="196" spans="1:111" x14ac:dyDescent="0.2">
      <c r="A196" s="30"/>
      <c r="B196" s="30"/>
      <c r="E196" s="66"/>
      <c r="G196" s="66"/>
      <c r="I196" s="82"/>
      <c r="K196" s="82"/>
      <c r="M196" s="130"/>
      <c r="O196" s="130"/>
      <c r="Q196" s="98"/>
      <c r="S196" s="98"/>
      <c r="U196" s="98"/>
      <c r="W196" s="114"/>
      <c r="Y196" s="114"/>
      <c r="AA196" s="114"/>
      <c r="AC196" s="150"/>
      <c r="AE196" s="150"/>
      <c r="AG196" s="150"/>
      <c r="AI196" s="150"/>
      <c r="AK196" s="167"/>
      <c r="AM196" s="167"/>
      <c r="AO196" s="54"/>
      <c r="AQ196" s="54"/>
      <c r="AS196" s="54"/>
      <c r="AU196" s="54"/>
      <c r="AW196" s="54"/>
      <c r="AY196" s="54"/>
      <c r="BA196" s="54"/>
      <c r="BC196" s="54"/>
      <c r="BE196" s="66"/>
      <c r="BG196" s="66"/>
      <c r="BI196" s="66"/>
      <c r="BK196" s="66"/>
      <c r="BM196" s="82"/>
      <c r="BO196" s="82"/>
      <c r="BQ196" s="98"/>
      <c r="BS196" s="98"/>
      <c r="BU196" s="114"/>
      <c r="BW196" s="114"/>
      <c r="BY196" s="54"/>
      <c r="CA196" s="54"/>
      <c r="CC196" s="54"/>
      <c r="CE196" s="54"/>
      <c r="CG196" s="54"/>
      <c r="CI196" s="54"/>
      <c r="CK196" s="54"/>
      <c r="CM196" s="150"/>
      <c r="CO196" s="150"/>
      <c r="CQ196" s="150"/>
      <c r="CS196" s="167"/>
      <c r="CU196" s="167"/>
      <c r="CW196" s="167"/>
      <c r="CY196" s="54"/>
      <c r="DA196" s="54"/>
      <c r="DC196" s="66"/>
      <c r="DE196" s="66"/>
      <c r="DG196" s="66"/>
    </row>
    <row r="197" spans="1:111" x14ac:dyDescent="0.2">
      <c r="A197" s="28" t="s">
        <v>157</v>
      </c>
      <c r="B197" s="29" t="s">
        <v>158</v>
      </c>
      <c r="E197" s="66"/>
      <c r="G197" s="66"/>
      <c r="I197" s="82"/>
      <c r="K197" s="82"/>
      <c r="M197" s="130"/>
      <c r="O197" s="130"/>
      <c r="Q197" s="98"/>
      <c r="S197" s="98"/>
      <c r="U197" s="98"/>
      <c r="W197" s="114"/>
      <c r="Y197" s="114"/>
      <c r="AA197" s="114"/>
      <c r="AC197" s="150"/>
      <c r="AE197" s="150"/>
      <c r="AG197" s="150"/>
      <c r="AI197" s="150"/>
      <c r="AK197" s="167"/>
      <c r="AM197" s="167"/>
      <c r="AO197" s="54"/>
      <c r="AQ197" s="54"/>
      <c r="AS197" s="54"/>
      <c r="AU197" s="54"/>
      <c r="AW197" s="54"/>
      <c r="AY197" s="54"/>
      <c r="BA197" s="54"/>
      <c r="BC197" s="54"/>
      <c r="BE197" s="66"/>
      <c r="BG197" s="66"/>
      <c r="BI197" s="66"/>
      <c r="BK197" s="66"/>
      <c r="BM197" s="82"/>
      <c r="BO197" s="82"/>
      <c r="BQ197" s="98"/>
      <c r="BS197" s="98"/>
      <c r="BU197" s="114"/>
      <c r="BW197" s="114"/>
      <c r="BY197" s="54"/>
      <c r="CA197" s="54"/>
      <c r="CC197" s="54"/>
      <c r="CE197" s="54"/>
      <c r="CG197" s="54"/>
      <c r="CI197" s="54"/>
      <c r="CK197" s="54"/>
      <c r="CM197" s="150"/>
      <c r="CO197" s="150"/>
      <c r="CQ197" s="150"/>
      <c r="CS197" s="167"/>
      <c r="CU197" s="167"/>
      <c r="CW197" s="167"/>
      <c r="CY197" s="54"/>
      <c r="DA197" s="54"/>
      <c r="DC197" s="66"/>
      <c r="DE197" s="66"/>
      <c r="DG197" s="66"/>
    </row>
    <row r="198" spans="1:111" outlineLevel="1" x14ac:dyDescent="0.2">
      <c r="A198" s="30"/>
      <c r="B198" s="32" t="s">
        <v>55</v>
      </c>
      <c r="C198" s="31">
        <f>1883.05224610559+89.9477538944136</f>
        <v>1973.0000000000036</v>
      </c>
      <c r="D198" s="67">
        <f>1186.40754506923+54.5924549307656</f>
        <v>1240.9999999999957</v>
      </c>
      <c r="E198" s="68"/>
      <c r="F198" s="67">
        <f>697.229271339924+34.7707286600755</f>
        <v>731.99999999999955</v>
      </c>
      <c r="G198" s="68"/>
      <c r="H198" s="83">
        <f>1294.51472390475+61.4852760952508</f>
        <v>1356.0000000000009</v>
      </c>
      <c r="I198" s="84"/>
      <c r="J198" s="83">
        <f>588.872678023413+28.1273219765872</f>
        <v>617.00000000000011</v>
      </c>
      <c r="K198" s="84"/>
      <c r="L198" s="131"/>
      <c r="M198" s="132"/>
      <c r="N198" s="131"/>
      <c r="O198" s="132"/>
      <c r="P198" s="99">
        <f>197.775455801689+12.2245441983108</f>
        <v>209.9999999999998</v>
      </c>
      <c r="Q198" s="100"/>
      <c r="R198" s="99">
        <f>183.624369897672+9.37563010232844</f>
        <v>193.00000000000045</v>
      </c>
      <c r="S198" s="100"/>
      <c r="T198" s="99">
        <f>202.167219603481+6.83278039651879</f>
        <v>208.99999999999977</v>
      </c>
      <c r="U198" s="100"/>
      <c r="V198" s="115">
        <f>142.903095748811+7.09690425118887</f>
        <v>149.99999999999989</v>
      </c>
      <c r="W198" s="116"/>
      <c r="X198" s="115">
        <f>159.312800786456+8.68719921354355</f>
        <v>167.99999999999955</v>
      </c>
      <c r="Y198" s="116"/>
      <c r="Z198" s="115">
        <f>187.399553476067+6.60044652393256</f>
        <v>193.99999999999957</v>
      </c>
      <c r="AA198" s="116"/>
      <c r="AB198" s="151">
        <f>418.260207692397+16.7397923076035</f>
        <v>435.00000000000051</v>
      </c>
      <c r="AC198" s="152"/>
      <c r="AD198" s="151">
        <f>738.006659532827+36.9933404671731</f>
        <v>775.00000000000011</v>
      </c>
      <c r="AE198" s="152"/>
      <c r="AF198" s="151">
        <f>311.253904538341+10.7460954616589</f>
        <v>321.99999999999989</v>
      </c>
      <c r="AG198" s="152"/>
      <c r="AH198" s="151">
        <f>431.026863681208+9.97313631879211</f>
        <v>441.00000000000011</v>
      </c>
      <c r="AI198" s="152"/>
      <c r="AJ198" s="168">
        <f>923.333460709361+44.6665392906394</f>
        <v>968.00000000000045</v>
      </c>
      <c r="AK198" s="169"/>
      <c r="AL198" s="168">
        <f>959.799270076854+45.2007299231459</f>
        <v>1004.9999999999999</v>
      </c>
      <c r="AM198" s="169"/>
      <c r="AN198" s="31"/>
      <c r="AO198" s="55"/>
      <c r="AP198" s="31"/>
      <c r="AQ198" s="55"/>
      <c r="AR198" s="31"/>
      <c r="AS198" s="55"/>
      <c r="AT198" s="31"/>
      <c r="AU198" s="55"/>
      <c r="AV198" s="31"/>
      <c r="AW198" s="55"/>
      <c r="AX198" s="31"/>
      <c r="AY198" s="55"/>
      <c r="AZ198" s="31"/>
      <c r="BA198" s="55"/>
      <c r="BB198" s="31"/>
      <c r="BC198" s="55"/>
      <c r="BD198" s="67">
        <f>379.857824097321+11.1421759026792</f>
        <v>391.00000000000017</v>
      </c>
      <c r="BE198" s="68"/>
      <c r="BF198" s="67">
        <f>745.998424961336+22.0015750386635</f>
        <v>767.99999999999955</v>
      </c>
      <c r="BG198" s="68"/>
      <c r="BH198" s="67">
        <f>409.189427060892+14.8105729391077</f>
        <v>423.99999999999972</v>
      </c>
      <c r="BI198" s="68"/>
      <c r="BJ198" s="67">
        <f>363.70066322202+26.2993367779799</f>
        <v>389.99999999999989</v>
      </c>
      <c r="BK198" s="68"/>
      <c r="BL198" s="83">
        <f>896.282615300541+41.7173846994588</f>
        <v>937.99999999999977</v>
      </c>
      <c r="BM198" s="84"/>
      <c r="BN198" s="83">
        <f>918.786185024919+45.2138149750814</f>
        <v>964.00000000000034</v>
      </c>
      <c r="BO198" s="84"/>
      <c r="BP198" s="99">
        <f>566.54488221061+21.4551177893895</f>
        <v>587.99999999999955</v>
      </c>
      <c r="BQ198" s="100"/>
      <c r="BR198" s="99">
        <f>1309.85022189589+68.1497781041148</f>
        <v>1378.0000000000048</v>
      </c>
      <c r="BS198" s="100"/>
      <c r="BT198" s="115">
        <f>801.597409190903+42.4025908090973</f>
        <v>844.00000000000034</v>
      </c>
      <c r="BU198" s="116"/>
      <c r="BV198" s="115">
        <f>1073.89067127574+47.109328724262</f>
        <v>1121.000000000002</v>
      </c>
      <c r="BW198" s="116"/>
      <c r="BX198" s="31"/>
      <c r="BY198" s="55"/>
      <c r="BZ198" s="31"/>
      <c r="CA198" s="55"/>
      <c r="CB198" s="31"/>
      <c r="CC198" s="55"/>
      <c r="CD198" s="31"/>
      <c r="CE198" s="55"/>
      <c r="CF198" s="31"/>
      <c r="CG198" s="55"/>
      <c r="CH198" s="31"/>
      <c r="CI198" s="55"/>
      <c r="CJ198" s="31"/>
      <c r="CK198" s="55"/>
      <c r="CL198" s="151">
        <f>1355.82509014005+57.1749098599505</f>
        <v>1413.0000000000005</v>
      </c>
      <c r="CM198" s="152"/>
      <c r="CN198" s="151">
        <f>292.487931587065+18.5120684129348</f>
        <v>310.99999999999983</v>
      </c>
      <c r="CO198" s="152"/>
      <c r="CP198" s="151">
        <f>266.807630662101+20.192369337899</f>
        <v>287</v>
      </c>
      <c r="CQ198" s="152"/>
      <c r="CR198" s="168">
        <f>771.339198902703+38.6608010972968</f>
        <v>809.99999999999977</v>
      </c>
      <c r="CS198" s="169"/>
      <c r="CT198" s="168">
        <f>498.353180029268+21.6468199707316</f>
        <v>519.99999999999955</v>
      </c>
      <c r="CU198" s="169"/>
      <c r="CV198" s="168">
        <f>425.648257709813+20.3517422901865</f>
        <v>445.99999999999949</v>
      </c>
      <c r="CW198" s="169"/>
      <c r="CX198" s="31"/>
      <c r="CY198" s="55"/>
      <c r="CZ198" s="31"/>
      <c r="DA198" s="55"/>
      <c r="DB198" s="67">
        <f>562.90176025743+31.0982397425698</f>
        <v>593.99999999999989</v>
      </c>
      <c r="DC198" s="68"/>
      <c r="DD198" s="67">
        <f>923.018785397321+40.9812146026794</f>
        <v>964.00000000000045</v>
      </c>
      <c r="DE198" s="68"/>
      <c r="DF198" s="67">
        <f>397.90956414565+17.0904358543499</f>
        <v>414.99999999999989</v>
      </c>
      <c r="DG198" s="68"/>
    </row>
    <row r="199" spans="1:111" s="35" customFormat="1" outlineLevel="1" x14ac:dyDescent="0.2">
      <c r="A199" s="30"/>
      <c r="B199" s="33"/>
      <c r="C199" s="34" t="s">
        <v>167</v>
      </c>
      <c r="D199" s="69" t="s">
        <v>167</v>
      </c>
      <c r="E199" s="70"/>
      <c r="F199" s="69" t="s">
        <v>167</v>
      </c>
      <c r="G199" s="70"/>
      <c r="H199" s="85" t="s">
        <v>167</v>
      </c>
      <c r="I199" s="86"/>
      <c r="J199" s="85" t="s">
        <v>167</v>
      </c>
      <c r="K199" s="86"/>
      <c r="L199" s="133"/>
      <c r="M199" s="134"/>
      <c r="N199" s="133"/>
      <c r="O199" s="134"/>
      <c r="P199" s="101" t="s">
        <v>167</v>
      </c>
      <c r="Q199" s="102"/>
      <c r="R199" s="101" t="s">
        <v>167</v>
      </c>
      <c r="S199" s="102"/>
      <c r="T199" s="101" t="s">
        <v>167</v>
      </c>
      <c r="U199" s="102"/>
      <c r="V199" s="117" t="s">
        <v>167</v>
      </c>
      <c r="W199" s="118"/>
      <c r="X199" s="117" t="s">
        <v>167</v>
      </c>
      <c r="Y199" s="118"/>
      <c r="Z199" s="117" t="s">
        <v>167</v>
      </c>
      <c r="AA199" s="118"/>
      <c r="AB199" s="153" t="s">
        <v>167</v>
      </c>
      <c r="AC199" s="154"/>
      <c r="AD199" s="153" t="s">
        <v>167</v>
      </c>
      <c r="AE199" s="154"/>
      <c r="AF199" s="153" t="s">
        <v>167</v>
      </c>
      <c r="AG199" s="154"/>
      <c r="AH199" s="153" t="s">
        <v>167</v>
      </c>
      <c r="AI199" s="154"/>
      <c r="AJ199" s="170" t="s">
        <v>167</v>
      </c>
      <c r="AK199" s="171"/>
      <c r="AL199" s="170" t="s">
        <v>167</v>
      </c>
      <c r="AM199" s="171"/>
      <c r="AN199" s="34"/>
      <c r="AO199" s="56"/>
      <c r="AP199" s="34"/>
      <c r="AQ199" s="56"/>
      <c r="AR199" s="34"/>
      <c r="AS199" s="56"/>
      <c r="AT199" s="34"/>
      <c r="AU199" s="56"/>
      <c r="AV199" s="34"/>
      <c r="AW199" s="56"/>
      <c r="AX199" s="34"/>
      <c r="AY199" s="56"/>
      <c r="AZ199" s="34"/>
      <c r="BA199" s="56"/>
      <c r="BB199" s="34"/>
      <c r="BC199" s="56"/>
      <c r="BD199" s="69" t="s">
        <v>167</v>
      </c>
      <c r="BE199" s="70"/>
      <c r="BF199" s="69" t="s">
        <v>167</v>
      </c>
      <c r="BG199" s="70"/>
      <c r="BH199" s="69" t="s">
        <v>167</v>
      </c>
      <c r="BI199" s="70"/>
      <c r="BJ199" s="69" t="s">
        <v>167</v>
      </c>
      <c r="BK199" s="70"/>
      <c r="BL199" s="85" t="s">
        <v>167</v>
      </c>
      <c r="BM199" s="86"/>
      <c r="BN199" s="85" t="s">
        <v>167</v>
      </c>
      <c r="BO199" s="86"/>
      <c r="BP199" s="101" t="s">
        <v>167</v>
      </c>
      <c r="BQ199" s="102"/>
      <c r="BR199" s="101" t="s">
        <v>167</v>
      </c>
      <c r="BS199" s="102"/>
      <c r="BT199" s="117" t="s">
        <v>167</v>
      </c>
      <c r="BU199" s="118"/>
      <c r="BV199" s="117" t="s">
        <v>167</v>
      </c>
      <c r="BW199" s="118"/>
      <c r="BX199" s="34"/>
      <c r="BY199" s="56"/>
      <c r="BZ199" s="34"/>
      <c r="CA199" s="56"/>
      <c r="CB199" s="34"/>
      <c r="CC199" s="56"/>
      <c r="CD199" s="34"/>
      <c r="CE199" s="56"/>
      <c r="CF199" s="34"/>
      <c r="CG199" s="56"/>
      <c r="CH199" s="34"/>
      <c r="CI199" s="56"/>
      <c r="CJ199" s="34"/>
      <c r="CK199" s="56"/>
      <c r="CL199" s="153" t="s">
        <v>167</v>
      </c>
      <c r="CM199" s="154"/>
      <c r="CN199" s="153" t="s">
        <v>167</v>
      </c>
      <c r="CO199" s="154"/>
      <c r="CP199" s="153" t="s">
        <v>167</v>
      </c>
      <c r="CQ199" s="154"/>
      <c r="CR199" s="170" t="s">
        <v>167</v>
      </c>
      <c r="CS199" s="171"/>
      <c r="CT199" s="170" t="s">
        <v>167</v>
      </c>
      <c r="CU199" s="171"/>
      <c r="CV199" s="170" t="s">
        <v>167</v>
      </c>
      <c r="CW199" s="171"/>
      <c r="CX199" s="34"/>
      <c r="CY199" s="56"/>
      <c r="CZ199" s="34"/>
      <c r="DA199" s="56"/>
      <c r="DB199" s="69" t="s">
        <v>167</v>
      </c>
      <c r="DC199" s="70"/>
      <c r="DD199" s="69" t="s">
        <v>167</v>
      </c>
      <c r="DE199" s="70"/>
      <c r="DF199" s="69" t="s">
        <v>167</v>
      </c>
      <c r="DG199" s="70"/>
    </row>
    <row r="200" spans="1:111" outlineLevel="1" x14ac:dyDescent="0.2">
      <c r="A200" s="30"/>
      <c r="B200" s="30"/>
      <c r="E200" s="66"/>
      <c r="G200" s="66"/>
      <c r="I200" s="82"/>
      <c r="K200" s="82"/>
      <c r="M200" s="130"/>
      <c r="O200" s="130"/>
      <c r="Q200" s="98"/>
      <c r="S200" s="98"/>
      <c r="U200" s="98"/>
      <c r="W200" s="114"/>
      <c r="Y200" s="114"/>
      <c r="AA200" s="114"/>
      <c r="AC200" s="150"/>
      <c r="AE200" s="150"/>
      <c r="AG200" s="150"/>
      <c r="AI200" s="150"/>
      <c r="AK200" s="167"/>
      <c r="AM200" s="167"/>
      <c r="AO200" s="54"/>
      <c r="AQ200" s="54"/>
      <c r="AS200" s="54"/>
      <c r="AU200" s="54"/>
      <c r="AW200" s="54"/>
      <c r="AY200" s="54"/>
      <c r="BA200" s="54"/>
      <c r="BC200" s="54"/>
      <c r="BE200" s="66"/>
      <c r="BG200" s="66"/>
      <c r="BI200" s="66"/>
      <c r="BK200" s="66"/>
      <c r="BM200" s="82"/>
      <c r="BO200" s="82"/>
      <c r="BQ200" s="98"/>
      <c r="BS200" s="98"/>
      <c r="BU200" s="114"/>
      <c r="BW200" s="114"/>
      <c r="BY200" s="54"/>
      <c r="CA200" s="54"/>
      <c r="CC200" s="54"/>
      <c r="CE200" s="54"/>
      <c r="CG200" s="54"/>
      <c r="CI200" s="54"/>
      <c r="CK200" s="54"/>
      <c r="CM200" s="150"/>
      <c r="CO200" s="150"/>
      <c r="CQ200" s="150"/>
      <c r="CS200" s="167"/>
      <c r="CU200" s="167"/>
      <c r="CW200" s="167"/>
      <c r="CY200" s="54"/>
      <c r="DA200" s="54"/>
      <c r="DC200" s="66"/>
      <c r="DE200" s="66"/>
      <c r="DG200" s="66"/>
    </row>
    <row r="201" spans="1:111" outlineLevel="1" x14ac:dyDescent="0.2">
      <c r="A201" s="30"/>
      <c r="B201" s="29" t="s">
        <v>148</v>
      </c>
      <c r="C201" s="36">
        <v>51.235497270328494</v>
      </c>
      <c r="D201" s="71">
        <v>57.714132717298448</v>
      </c>
      <c r="E201" s="68" t="s">
        <v>175</v>
      </c>
      <c r="F201" s="71">
        <v>40.604666171038659</v>
      </c>
      <c r="G201" s="68"/>
      <c r="H201" s="87">
        <v>59.222589529881219</v>
      </c>
      <c r="I201" s="84" t="s">
        <v>177</v>
      </c>
      <c r="J201" s="87">
        <v>34.173018206124084</v>
      </c>
      <c r="K201" s="84"/>
      <c r="L201" s="135"/>
      <c r="M201" s="132"/>
      <c r="N201" s="135"/>
      <c r="O201" s="132"/>
      <c r="P201" s="103">
        <v>59.138563839631892</v>
      </c>
      <c r="Q201" s="100" t="s">
        <v>250</v>
      </c>
      <c r="R201" s="103">
        <v>31.133922177130579</v>
      </c>
      <c r="S201" s="100"/>
      <c r="T201" s="103">
        <v>31.076383857236983</v>
      </c>
      <c r="U201" s="100"/>
      <c r="V201" s="119">
        <v>47.312233098854058</v>
      </c>
      <c r="W201" s="116" t="s">
        <v>251</v>
      </c>
      <c r="X201" s="119">
        <v>27.0827673491371</v>
      </c>
      <c r="Y201" s="116"/>
      <c r="Z201" s="119">
        <v>28.297125740480023</v>
      </c>
      <c r="AA201" s="116"/>
      <c r="AB201" s="155">
        <v>51.311457272879217</v>
      </c>
      <c r="AC201" s="152" t="s">
        <v>173</v>
      </c>
      <c r="AD201" s="155">
        <v>54.460431176604558</v>
      </c>
      <c r="AE201" s="152" t="s">
        <v>173</v>
      </c>
      <c r="AF201" s="155">
        <v>53.852927963638287</v>
      </c>
      <c r="AG201" s="152" t="s">
        <v>173</v>
      </c>
      <c r="AH201" s="155">
        <v>42.07904806835456</v>
      </c>
      <c r="AI201" s="152"/>
      <c r="AJ201" s="172">
        <v>50.932210210892528</v>
      </c>
      <c r="AK201" s="169"/>
      <c r="AL201" s="172">
        <v>51.531101773647144</v>
      </c>
      <c r="AM201" s="169"/>
      <c r="AN201" s="36"/>
      <c r="AO201" s="55"/>
      <c r="AP201" s="36"/>
      <c r="AQ201" s="55"/>
      <c r="AR201" s="36"/>
      <c r="AS201" s="55"/>
      <c r="AT201" s="36"/>
      <c r="AU201" s="55"/>
      <c r="AV201" s="36"/>
      <c r="AW201" s="55"/>
      <c r="AX201" s="36"/>
      <c r="AY201" s="55"/>
      <c r="AZ201" s="36"/>
      <c r="BA201" s="55"/>
      <c r="BB201" s="36"/>
      <c r="BC201" s="55"/>
      <c r="BD201" s="71">
        <v>54.841043418001632</v>
      </c>
      <c r="BE201" s="68" t="s">
        <v>193</v>
      </c>
      <c r="BF201" s="71">
        <v>51.663882498831164</v>
      </c>
      <c r="BG201" s="68"/>
      <c r="BH201" s="71">
        <v>47.840465161014386</v>
      </c>
      <c r="BI201" s="68"/>
      <c r="BJ201" s="71">
        <v>50.878515786369043</v>
      </c>
      <c r="BK201" s="68"/>
      <c r="BL201" s="87">
        <v>48.562199444926698</v>
      </c>
      <c r="BM201" s="84"/>
      <c r="BN201" s="87">
        <v>54.272307520156417</v>
      </c>
      <c r="BO201" s="84" t="s">
        <v>195</v>
      </c>
      <c r="BP201" s="103">
        <v>45.101249133207688</v>
      </c>
      <c r="BQ201" s="100"/>
      <c r="BR201" s="103">
        <v>53.984243765155746</v>
      </c>
      <c r="BS201" s="100" t="s">
        <v>197</v>
      </c>
      <c r="BT201" s="119">
        <v>54.768057475344143</v>
      </c>
      <c r="BU201" s="116" t="s">
        <v>200</v>
      </c>
      <c r="BV201" s="119">
        <v>48.546626820290477</v>
      </c>
      <c r="BW201" s="116"/>
      <c r="BX201" s="36"/>
      <c r="BY201" s="55"/>
      <c r="BZ201" s="36"/>
      <c r="CA201" s="55"/>
      <c r="CB201" s="36"/>
      <c r="CC201" s="55"/>
      <c r="CD201" s="36"/>
      <c r="CE201" s="55"/>
      <c r="CF201" s="36"/>
      <c r="CG201" s="55"/>
      <c r="CH201" s="36"/>
      <c r="CI201" s="55"/>
      <c r="CJ201" s="36"/>
      <c r="CK201" s="55"/>
      <c r="CL201" s="155">
        <v>49.083696493535257</v>
      </c>
      <c r="CM201" s="152"/>
      <c r="CN201" s="155">
        <v>57.713672759214838</v>
      </c>
      <c r="CO201" s="152" t="s">
        <v>201</v>
      </c>
      <c r="CP201" s="155">
        <v>54.032453840321168</v>
      </c>
      <c r="CQ201" s="152"/>
      <c r="CR201" s="172">
        <v>64.624222832188607</v>
      </c>
      <c r="CS201" s="169" t="s">
        <v>243</v>
      </c>
      <c r="CT201" s="172">
        <v>40.954195299299293</v>
      </c>
      <c r="CU201" s="169"/>
      <c r="CV201" s="172">
        <v>39.653345829869878</v>
      </c>
      <c r="CW201" s="169"/>
      <c r="CX201" s="36"/>
      <c r="CY201" s="55"/>
      <c r="CZ201" s="36"/>
      <c r="DA201" s="55"/>
      <c r="DB201" s="71">
        <v>59.443718421286803</v>
      </c>
      <c r="DC201" s="68" t="s">
        <v>245</v>
      </c>
      <c r="DD201" s="71">
        <v>50.5865148513127</v>
      </c>
      <c r="DE201" s="68" t="s">
        <v>208</v>
      </c>
      <c r="DF201" s="71">
        <v>40.768554231642817</v>
      </c>
      <c r="DG201" s="68"/>
    </row>
    <row r="202" spans="1:111" outlineLevel="1" x14ac:dyDescent="0.2">
      <c r="A202" s="30"/>
      <c r="B202" s="37" t="s">
        <v>149</v>
      </c>
      <c r="C202" s="38">
        <v>21.779642258543813</v>
      </c>
      <c r="D202" s="72">
        <v>25.099777786861708</v>
      </c>
      <c r="E202" s="68" t="s">
        <v>175</v>
      </c>
      <c r="F202" s="72">
        <v>16.331612296492654</v>
      </c>
      <c r="G202" s="68"/>
      <c r="H202" s="88">
        <v>26.77913576724422</v>
      </c>
      <c r="I202" s="84" t="s">
        <v>177</v>
      </c>
      <c r="J202" s="88">
        <v>11.099440934738947</v>
      </c>
      <c r="K202" s="84"/>
      <c r="L202" s="136"/>
      <c r="M202" s="132"/>
      <c r="N202" s="136"/>
      <c r="O202" s="132"/>
      <c r="P202" s="104">
        <v>27.767247753181707</v>
      </c>
      <c r="Q202" s="100" t="s">
        <v>250</v>
      </c>
      <c r="R202" s="104">
        <v>13.10959344868029</v>
      </c>
      <c r="S202" s="100"/>
      <c r="T202" s="104">
        <v>11.542062033747008</v>
      </c>
      <c r="U202" s="100"/>
      <c r="V202" s="120">
        <v>16.616350997468267</v>
      </c>
      <c r="W202" s="116"/>
      <c r="X202" s="120">
        <v>9.8341847122739452</v>
      </c>
      <c r="Y202" s="116"/>
      <c r="Z202" s="120">
        <v>9.4593970011565176</v>
      </c>
      <c r="AA202" s="116"/>
      <c r="AB202" s="156">
        <v>18.77357531946576</v>
      </c>
      <c r="AC202" s="152"/>
      <c r="AD202" s="156">
        <v>25.318839555351769</v>
      </c>
      <c r="AE202" s="152" t="s">
        <v>256</v>
      </c>
      <c r="AF202" s="156">
        <v>22.537392315416735</v>
      </c>
      <c r="AG202" s="152"/>
      <c r="AH202" s="156">
        <v>16.819468469885202</v>
      </c>
      <c r="AI202" s="152"/>
      <c r="AJ202" s="173">
        <v>21.079223352741408</v>
      </c>
      <c r="AK202" s="169"/>
      <c r="AL202" s="173">
        <v>22.462318872408442</v>
      </c>
      <c r="AM202" s="169"/>
      <c r="AN202" s="38"/>
      <c r="AO202" s="55"/>
      <c r="AP202" s="38"/>
      <c r="AQ202" s="55"/>
      <c r="AR202" s="38"/>
      <c r="AS202" s="55"/>
      <c r="AT202" s="38"/>
      <c r="AU202" s="55"/>
      <c r="AV202" s="38"/>
      <c r="AW202" s="55"/>
      <c r="AX202" s="38"/>
      <c r="AY202" s="55"/>
      <c r="AZ202" s="38"/>
      <c r="BA202" s="55"/>
      <c r="BB202" s="38"/>
      <c r="BC202" s="55"/>
      <c r="BD202" s="72">
        <v>20.709097330444841</v>
      </c>
      <c r="BE202" s="68"/>
      <c r="BF202" s="72">
        <v>22.998087577655618</v>
      </c>
      <c r="BG202" s="68" t="s">
        <v>193</v>
      </c>
      <c r="BH202" s="72">
        <v>17.326711173655244</v>
      </c>
      <c r="BI202" s="68"/>
      <c r="BJ202" s="72">
        <v>25.330847202352398</v>
      </c>
      <c r="BK202" s="68" t="s">
        <v>193</v>
      </c>
      <c r="BL202" s="88">
        <v>21.145528402116664</v>
      </c>
      <c r="BM202" s="84"/>
      <c r="BN202" s="88">
        <v>22.535271109450864</v>
      </c>
      <c r="BO202" s="84"/>
      <c r="BP202" s="104">
        <v>20.346457210976165</v>
      </c>
      <c r="BQ202" s="100"/>
      <c r="BR202" s="104">
        <v>22.366909460183731</v>
      </c>
      <c r="BS202" s="100"/>
      <c r="BT202" s="120">
        <v>24.938210061263298</v>
      </c>
      <c r="BU202" s="116" t="s">
        <v>200</v>
      </c>
      <c r="BV202" s="120">
        <v>19.344803851324333</v>
      </c>
      <c r="BW202" s="116"/>
      <c r="BX202" s="38"/>
      <c r="BY202" s="55"/>
      <c r="BZ202" s="38"/>
      <c r="CA202" s="55"/>
      <c r="CB202" s="38"/>
      <c r="CC202" s="55"/>
      <c r="CD202" s="38"/>
      <c r="CE202" s="55"/>
      <c r="CF202" s="38"/>
      <c r="CG202" s="55"/>
      <c r="CH202" s="38"/>
      <c r="CI202" s="55"/>
      <c r="CJ202" s="38"/>
      <c r="CK202" s="55"/>
      <c r="CL202" s="156">
        <v>19.432279790017535</v>
      </c>
      <c r="CM202" s="152"/>
      <c r="CN202" s="156">
        <v>28.608432717321531</v>
      </c>
      <c r="CO202" s="152" t="s">
        <v>201</v>
      </c>
      <c r="CP202" s="156">
        <v>23.145875446411395</v>
      </c>
      <c r="CQ202" s="152"/>
      <c r="CR202" s="173">
        <v>31.002487710158132</v>
      </c>
      <c r="CS202" s="169" t="s">
        <v>243</v>
      </c>
      <c r="CT202" s="173">
        <v>16.591289032329854</v>
      </c>
      <c r="CU202" s="169"/>
      <c r="CV202" s="173">
        <v>14.239446173701703</v>
      </c>
      <c r="CW202" s="169"/>
      <c r="CX202" s="38"/>
      <c r="CY202" s="55"/>
      <c r="CZ202" s="38"/>
      <c r="DA202" s="55"/>
      <c r="DB202" s="72">
        <v>29.153166925349215</v>
      </c>
      <c r="DC202" s="68" t="s">
        <v>245</v>
      </c>
      <c r="DD202" s="72">
        <v>19.785419219401504</v>
      </c>
      <c r="DE202" s="68"/>
      <c r="DF202" s="72">
        <v>15.590163810029225</v>
      </c>
      <c r="DG202" s="68"/>
    </row>
    <row r="203" spans="1:111" outlineLevel="1" x14ac:dyDescent="0.2">
      <c r="A203" s="30"/>
      <c r="B203" s="37" t="s">
        <v>150</v>
      </c>
      <c r="C203" s="38">
        <v>29.455855011784685</v>
      </c>
      <c r="D203" s="72">
        <v>32.61435493043674</v>
      </c>
      <c r="E203" s="68" t="s">
        <v>175</v>
      </c>
      <c r="F203" s="72">
        <v>24.273053874546004</v>
      </c>
      <c r="G203" s="68"/>
      <c r="H203" s="88">
        <v>32.443453762636999</v>
      </c>
      <c r="I203" s="84" t="s">
        <v>177</v>
      </c>
      <c r="J203" s="88">
        <v>23.07357727138514</v>
      </c>
      <c r="K203" s="84"/>
      <c r="L203" s="136"/>
      <c r="M203" s="132"/>
      <c r="N203" s="136"/>
      <c r="O203" s="132"/>
      <c r="P203" s="104">
        <v>31.371316086450182</v>
      </c>
      <c r="Q203" s="100" t="s">
        <v>250</v>
      </c>
      <c r="R203" s="104">
        <v>18.024328728450289</v>
      </c>
      <c r="S203" s="100"/>
      <c r="T203" s="104">
        <v>19.534321823489975</v>
      </c>
      <c r="U203" s="100"/>
      <c r="V203" s="120">
        <v>30.695882101385795</v>
      </c>
      <c r="W203" s="116" t="s">
        <v>251</v>
      </c>
      <c r="X203" s="120">
        <v>17.248582636863151</v>
      </c>
      <c r="Y203" s="116"/>
      <c r="Z203" s="120">
        <v>18.837728739323506</v>
      </c>
      <c r="AA203" s="116"/>
      <c r="AB203" s="156">
        <v>32.537881953413461</v>
      </c>
      <c r="AC203" s="152" t="s">
        <v>173</v>
      </c>
      <c r="AD203" s="156">
        <v>29.141591621252786</v>
      </c>
      <c r="AE203" s="152"/>
      <c r="AF203" s="156">
        <v>31.315535648221555</v>
      </c>
      <c r="AG203" s="152"/>
      <c r="AH203" s="156">
        <v>25.259579598469362</v>
      </c>
      <c r="AI203" s="152"/>
      <c r="AJ203" s="173">
        <v>29.852986858151116</v>
      </c>
      <c r="AK203" s="169"/>
      <c r="AL203" s="173">
        <v>29.068782901238698</v>
      </c>
      <c r="AM203" s="169"/>
      <c r="AN203" s="38"/>
      <c r="AO203" s="55"/>
      <c r="AP203" s="38"/>
      <c r="AQ203" s="55"/>
      <c r="AR203" s="38"/>
      <c r="AS203" s="55"/>
      <c r="AT203" s="38"/>
      <c r="AU203" s="55"/>
      <c r="AV203" s="38"/>
      <c r="AW203" s="55"/>
      <c r="AX203" s="38"/>
      <c r="AY203" s="55"/>
      <c r="AZ203" s="38"/>
      <c r="BA203" s="55"/>
      <c r="BB203" s="38"/>
      <c r="BC203" s="55"/>
      <c r="BD203" s="72">
        <v>34.131946087556791</v>
      </c>
      <c r="BE203" s="68" t="s">
        <v>194</v>
      </c>
      <c r="BF203" s="72">
        <v>28.665794921175547</v>
      </c>
      <c r="BG203" s="68"/>
      <c r="BH203" s="72">
        <v>30.513753987359141</v>
      </c>
      <c r="BI203" s="68"/>
      <c r="BJ203" s="72">
        <v>25.547668584016641</v>
      </c>
      <c r="BK203" s="68"/>
      <c r="BL203" s="88">
        <v>27.416671042810037</v>
      </c>
      <c r="BM203" s="84"/>
      <c r="BN203" s="88">
        <v>31.737036410705553</v>
      </c>
      <c r="BO203" s="84" t="s">
        <v>195</v>
      </c>
      <c r="BP203" s="104">
        <v>24.754791922231522</v>
      </c>
      <c r="BQ203" s="100"/>
      <c r="BR203" s="104">
        <v>31.617334304972015</v>
      </c>
      <c r="BS203" s="100" t="s">
        <v>197</v>
      </c>
      <c r="BT203" s="120">
        <v>29.829847414080842</v>
      </c>
      <c r="BU203" s="116"/>
      <c r="BV203" s="120">
        <v>29.201822968966145</v>
      </c>
      <c r="BW203" s="116"/>
      <c r="BX203" s="38"/>
      <c r="BY203" s="55"/>
      <c r="BZ203" s="38"/>
      <c r="CA203" s="55"/>
      <c r="CB203" s="38"/>
      <c r="CC203" s="55"/>
      <c r="CD203" s="38"/>
      <c r="CE203" s="55"/>
      <c r="CF203" s="38"/>
      <c r="CG203" s="55"/>
      <c r="CH203" s="38"/>
      <c r="CI203" s="55"/>
      <c r="CJ203" s="38"/>
      <c r="CK203" s="55"/>
      <c r="CL203" s="156">
        <v>29.651416703517718</v>
      </c>
      <c r="CM203" s="152"/>
      <c r="CN203" s="156">
        <v>29.105240041893307</v>
      </c>
      <c r="CO203" s="152"/>
      <c r="CP203" s="156">
        <v>30.886578393909769</v>
      </c>
      <c r="CQ203" s="152"/>
      <c r="CR203" s="173">
        <v>33.621735122030479</v>
      </c>
      <c r="CS203" s="169" t="s">
        <v>243</v>
      </c>
      <c r="CT203" s="173">
        <v>24.362906266969439</v>
      </c>
      <c r="CU203" s="169"/>
      <c r="CV203" s="173">
        <v>25.413899656168173</v>
      </c>
      <c r="CW203" s="169"/>
      <c r="CX203" s="38"/>
      <c r="CY203" s="55"/>
      <c r="CZ203" s="38"/>
      <c r="DA203" s="55"/>
      <c r="DB203" s="72">
        <v>30.290551495937589</v>
      </c>
      <c r="DC203" s="68"/>
      <c r="DD203" s="72">
        <v>30.801095631911195</v>
      </c>
      <c r="DE203" s="68" t="s">
        <v>208</v>
      </c>
      <c r="DF203" s="72">
        <v>25.178390421613596</v>
      </c>
      <c r="DG203" s="68"/>
    </row>
    <row r="204" spans="1:111" outlineLevel="1" x14ac:dyDescent="0.2">
      <c r="A204" s="30"/>
      <c r="B204" s="29"/>
      <c r="E204" s="66"/>
      <c r="G204" s="66"/>
      <c r="I204" s="82"/>
      <c r="K204" s="82"/>
      <c r="M204" s="130"/>
      <c r="O204" s="130"/>
      <c r="Q204" s="98"/>
      <c r="S204" s="98"/>
      <c r="U204" s="98"/>
      <c r="W204" s="114"/>
      <c r="Y204" s="114"/>
      <c r="AA204" s="114"/>
      <c r="AC204" s="150"/>
      <c r="AE204" s="150"/>
      <c r="AG204" s="150"/>
      <c r="AI204" s="150"/>
      <c r="AK204" s="167"/>
      <c r="AM204" s="167"/>
      <c r="AO204" s="54"/>
      <c r="AQ204" s="54"/>
      <c r="AS204" s="54"/>
      <c r="AU204" s="54"/>
      <c r="AW204" s="54"/>
      <c r="AY204" s="54"/>
      <c r="BA204" s="54"/>
      <c r="BC204" s="54"/>
      <c r="BE204" s="66"/>
      <c r="BG204" s="66"/>
      <c r="BI204" s="66"/>
      <c r="BK204" s="66"/>
      <c r="BM204" s="82"/>
      <c r="BO204" s="82"/>
      <c r="BQ204" s="98"/>
      <c r="BS204" s="98"/>
      <c r="BU204" s="114"/>
      <c r="BW204" s="114"/>
      <c r="BY204" s="54"/>
      <c r="CA204" s="54"/>
      <c r="CC204" s="54"/>
      <c r="CE204" s="54"/>
      <c r="CG204" s="54"/>
      <c r="CI204" s="54"/>
      <c r="CK204" s="54"/>
      <c r="CM204" s="150"/>
      <c r="CO204" s="150"/>
      <c r="CQ204" s="150"/>
      <c r="CS204" s="167"/>
      <c r="CU204" s="167"/>
      <c r="CW204" s="167"/>
      <c r="CY204" s="54"/>
      <c r="DA204" s="54"/>
      <c r="DC204" s="66"/>
      <c r="DE204" s="66"/>
      <c r="DG204" s="66"/>
    </row>
    <row r="205" spans="1:111" outlineLevel="1" x14ac:dyDescent="0.2">
      <c r="A205" s="30"/>
      <c r="B205" s="32" t="s">
        <v>151</v>
      </c>
      <c r="C205" s="38">
        <v>34.804988990218888</v>
      </c>
      <c r="D205" s="72">
        <v>29.677180281699755</v>
      </c>
      <c r="E205" s="68"/>
      <c r="F205" s="72">
        <v>43.219240530677162</v>
      </c>
      <c r="G205" s="68" t="s">
        <v>174</v>
      </c>
      <c r="H205" s="88">
        <v>29.005489008730301</v>
      </c>
      <c r="I205" s="84"/>
      <c r="J205" s="88">
        <v>47.194209472635656</v>
      </c>
      <c r="K205" s="84" t="s">
        <v>176</v>
      </c>
      <c r="L205" s="136"/>
      <c r="M205" s="132"/>
      <c r="N205" s="136"/>
      <c r="O205" s="132"/>
      <c r="P205" s="104">
        <v>29.847304624805783</v>
      </c>
      <c r="Q205" s="100"/>
      <c r="R205" s="104">
        <v>52.157565881656922</v>
      </c>
      <c r="S205" s="100" t="s">
        <v>180</v>
      </c>
      <c r="T205" s="104">
        <v>45.666854085636949</v>
      </c>
      <c r="U205" s="100" t="s">
        <v>180</v>
      </c>
      <c r="V205" s="120">
        <v>37.618229553222292</v>
      </c>
      <c r="W205" s="116"/>
      <c r="X205" s="120">
        <v>54.34131923410969</v>
      </c>
      <c r="Y205" s="116" t="s">
        <v>183</v>
      </c>
      <c r="Z205" s="120">
        <v>47.696183389255033</v>
      </c>
      <c r="AA205" s="116"/>
      <c r="AB205" s="156">
        <v>31.952178900825064</v>
      </c>
      <c r="AC205" s="152"/>
      <c r="AD205" s="156">
        <v>32.884118040440249</v>
      </c>
      <c r="AE205" s="152"/>
      <c r="AF205" s="156">
        <v>34.438025210084035</v>
      </c>
      <c r="AG205" s="152"/>
      <c r="AH205" s="156">
        <v>42.412433820831367</v>
      </c>
      <c r="AI205" s="152" t="s">
        <v>241</v>
      </c>
      <c r="AJ205" s="173">
        <v>33.189383227279912</v>
      </c>
      <c r="AK205" s="169"/>
      <c r="AL205" s="173">
        <v>36.379669888244962</v>
      </c>
      <c r="AM205" s="169"/>
      <c r="AN205" s="38"/>
      <c r="AO205" s="55"/>
      <c r="AP205" s="38"/>
      <c r="AQ205" s="55"/>
      <c r="AR205" s="38"/>
      <c r="AS205" s="55"/>
      <c r="AT205" s="38"/>
      <c r="AU205" s="55"/>
      <c r="AV205" s="38"/>
      <c r="AW205" s="55"/>
      <c r="AX205" s="38"/>
      <c r="AY205" s="55"/>
      <c r="AZ205" s="38"/>
      <c r="BA205" s="55"/>
      <c r="BB205" s="38"/>
      <c r="BC205" s="55"/>
      <c r="BD205" s="72">
        <v>32.123022349981724</v>
      </c>
      <c r="BE205" s="68"/>
      <c r="BF205" s="72">
        <v>34.21428801348987</v>
      </c>
      <c r="BG205" s="68"/>
      <c r="BH205" s="72">
        <v>38.625376623394338</v>
      </c>
      <c r="BI205" s="68"/>
      <c r="BJ205" s="72">
        <v>34.177103305728934</v>
      </c>
      <c r="BK205" s="68"/>
      <c r="BL205" s="88">
        <v>35.858824777872968</v>
      </c>
      <c r="BM205" s="84"/>
      <c r="BN205" s="88">
        <v>33.16804141752462</v>
      </c>
      <c r="BO205" s="84"/>
      <c r="BP205" s="104">
        <v>36.136404757596821</v>
      </c>
      <c r="BQ205" s="100"/>
      <c r="BR205" s="104">
        <v>34.246222920199315</v>
      </c>
      <c r="BS205" s="100"/>
      <c r="BT205" s="120">
        <v>32.405390093025176</v>
      </c>
      <c r="BU205" s="116"/>
      <c r="BV205" s="120">
        <v>36.610052130705462</v>
      </c>
      <c r="BW205" s="116"/>
      <c r="BX205" s="38"/>
      <c r="BY205" s="55"/>
      <c r="BZ205" s="38"/>
      <c r="CA205" s="55"/>
      <c r="CB205" s="38"/>
      <c r="CC205" s="55"/>
      <c r="CD205" s="38"/>
      <c r="CE205" s="55"/>
      <c r="CF205" s="38"/>
      <c r="CG205" s="55"/>
      <c r="CH205" s="38"/>
      <c r="CI205" s="55"/>
      <c r="CJ205" s="38"/>
      <c r="CK205" s="55"/>
      <c r="CL205" s="156">
        <v>37.268907835820087</v>
      </c>
      <c r="CM205" s="152" t="s">
        <v>202</v>
      </c>
      <c r="CN205" s="156">
        <v>26.638872934896447</v>
      </c>
      <c r="CO205" s="152"/>
      <c r="CP205" s="156">
        <v>32.788702067698928</v>
      </c>
      <c r="CQ205" s="152"/>
      <c r="CR205" s="173">
        <v>24.408852402306962</v>
      </c>
      <c r="CS205" s="169"/>
      <c r="CT205" s="173">
        <v>40.629359208013355</v>
      </c>
      <c r="CU205" s="169" t="s">
        <v>48</v>
      </c>
      <c r="CV205" s="173">
        <v>43.531552638465236</v>
      </c>
      <c r="CW205" s="169" t="s">
        <v>48</v>
      </c>
      <c r="CX205" s="38"/>
      <c r="CY205" s="55"/>
      <c r="CZ205" s="38"/>
      <c r="DA205" s="55"/>
      <c r="DB205" s="72">
        <v>29.264086143558806</v>
      </c>
      <c r="DC205" s="68"/>
      <c r="DD205" s="72">
        <v>34.996498876124718</v>
      </c>
      <c r="DE205" s="68" t="s">
        <v>206</v>
      </c>
      <c r="DF205" s="72">
        <v>42.432038334694724</v>
      </c>
      <c r="DG205" s="68" t="s">
        <v>249</v>
      </c>
    </row>
    <row r="206" spans="1:111" outlineLevel="1" x14ac:dyDescent="0.2">
      <c r="A206" s="30"/>
      <c r="B206" s="29"/>
      <c r="E206" s="66"/>
      <c r="G206" s="66"/>
      <c r="I206" s="82"/>
      <c r="K206" s="82"/>
      <c r="M206" s="130"/>
      <c r="O206" s="130"/>
      <c r="Q206" s="98"/>
      <c r="S206" s="98"/>
      <c r="U206" s="98"/>
      <c r="W206" s="114"/>
      <c r="Y206" s="114"/>
      <c r="AA206" s="114"/>
      <c r="AC206" s="150"/>
      <c r="AE206" s="150"/>
      <c r="AG206" s="150"/>
      <c r="AI206" s="150"/>
      <c r="AK206" s="167"/>
      <c r="AM206" s="167"/>
      <c r="AO206" s="54"/>
      <c r="AQ206" s="54"/>
      <c r="AS206" s="54"/>
      <c r="AU206" s="54"/>
      <c r="AW206" s="54"/>
      <c r="AY206" s="54"/>
      <c r="BA206" s="54"/>
      <c r="BC206" s="54"/>
      <c r="BE206" s="66"/>
      <c r="BG206" s="66"/>
      <c r="BI206" s="66"/>
      <c r="BK206" s="66"/>
      <c r="BM206" s="82"/>
      <c r="BO206" s="82"/>
      <c r="BQ206" s="98"/>
      <c r="BS206" s="98"/>
      <c r="BU206" s="114"/>
      <c r="BW206" s="114"/>
      <c r="BY206" s="54"/>
      <c r="CA206" s="54"/>
      <c r="CC206" s="54"/>
      <c r="CE206" s="54"/>
      <c r="CG206" s="54"/>
      <c r="CI206" s="54"/>
      <c r="CK206" s="54"/>
      <c r="CM206" s="150"/>
      <c r="CO206" s="150"/>
      <c r="CQ206" s="150"/>
      <c r="CS206" s="167"/>
      <c r="CU206" s="167"/>
      <c r="CW206" s="167"/>
      <c r="CY206" s="54"/>
      <c r="DA206" s="54"/>
      <c r="DC206" s="66"/>
      <c r="DE206" s="66"/>
      <c r="DG206" s="66"/>
    </row>
    <row r="207" spans="1:111" outlineLevel="1" x14ac:dyDescent="0.2">
      <c r="A207" s="30"/>
      <c r="B207" s="29" t="s">
        <v>152</v>
      </c>
      <c r="C207" s="36">
        <v>13.959513739452612</v>
      </c>
      <c r="D207" s="71">
        <v>12.608687001001794</v>
      </c>
      <c r="E207" s="68"/>
      <c r="F207" s="71">
        <v>16.176093298284183</v>
      </c>
      <c r="G207" s="68" t="s">
        <v>174</v>
      </c>
      <c r="H207" s="87">
        <v>11.771921461388484</v>
      </c>
      <c r="I207" s="84"/>
      <c r="J207" s="87">
        <v>18.632772321240264</v>
      </c>
      <c r="K207" s="84" t="s">
        <v>176</v>
      </c>
      <c r="L207" s="135"/>
      <c r="M207" s="132"/>
      <c r="N207" s="135"/>
      <c r="O207" s="132"/>
      <c r="P207" s="103">
        <v>11.014131535562324</v>
      </c>
      <c r="Q207" s="100"/>
      <c r="R207" s="103">
        <v>16.708511941212493</v>
      </c>
      <c r="S207" s="100"/>
      <c r="T207" s="103">
        <v>23.256762057126075</v>
      </c>
      <c r="U207" s="100" t="s">
        <v>180</v>
      </c>
      <c r="V207" s="119">
        <v>15.069537347923651</v>
      </c>
      <c r="W207" s="116"/>
      <c r="X207" s="119">
        <v>18.575913416753213</v>
      </c>
      <c r="Y207" s="116"/>
      <c r="Z207" s="119">
        <v>24.00669087026494</v>
      </c>
      <c r="AA207" s="116" t="s">
        <v>183</v>
      </c>
      <c r="AB207" s="155">
        <v>16.736363826295715</v>
      </c>
      <c r="AC207" s="152"/>
      <c r="AD207" s="155">
        <v>12.655450782955191</v>
      </c>
      <c r="AE207" s="152"/>
      <c r="AF207" s="155">
        <v>11.709046826277682</v>
      </c>
      <c r="AG207" s="152"/>
      <c r="AH207" s="155">
        <v>15.50851811081407</v>
      </c>
      <c r="AI207" s="152"/>
      <c r="AJ207" s="172">
        <v>15.878406561827559</v>
      </c>
      <c r="AK207" s="169" t="s">
        <v>187</v>
      </c>
      <c r="AL207" s="172">
        <v>12.089228338107903</v>
      </c>
      <c r="AM207" s="169"/>
      <c r="AN207" s="36"/>
      <c r="AO207" s="55"/>
      <c r="AP207" s="36"/>
      <c r="AQ207" s="55"/>
      <c r="AR207" s="36"/>
      <c r="AS207" s="55"/>
      <c r="AT207" s="36"/>
      <c r="AU207" s="55"/>
      <c r="AV207" s="36"/>
      <c r="AW207" s="55"/>
      <c r="AX207" s="36"/>
      <c r="AY207" s="55"/>
      <c r="AZ207" s="36"/>
      <c r="BA207" s="55"/>
      <c r="BB207" s="36"/>
      <c r="BC207" s="55"/>
      <c r="BD207" s="71">
        <v>13.035934232016642</v>
      </c>
      <c r="BE207" s="68"/>
      <c r="BF207" s="71">
        <v>14.121829487678955</v>
      </c>
      <c r="BG207" s="68"/>
      <c r="BH207" s="71">
        <v>13.534158215591271</v>
      </c>
      <c r="BI207" s="68"/>
      <c r="BJ207" s="71">
        <v>14.944380907902023</v>
      </c>
      <c r="BK207" s="68"/>
      <c r="BL207" s="87">
        <v>15.578975777200332</v>
      </c>
      <c r="BM207" s="84"/>
      <c r="BN207" s="87">
        <v>12.559651062318952</v>
      </c>
      <c r="BO207" s="84"/>
      <c r="BP207" s="103">
        <v>18.762346109195487</v>
      </c>
      <c r="BQ207" s="100" t="s">
        <v>198</v>
      </c>
      <c r="BR207" s="103">
        <v>11.769533314644931</v>
      </c>
      <c r="BS207" s="100"/>
      <c r="BT207" s="119">
        <v>12.826552431630677</v>
      </c>
      <c r="BU207" s="116"/>
      <c r="BV207" s="119">
        <v>14.843321049004071</v>
      </c>
      <c r="BW207" s="116"/>
      <c r="BX207" s="36"/>
      <c r="BY207" s="55"/>
      <c r="BZ207" s="36"/>
      <c r="CA207" s="55"/>
      <c r="CB207" s="36"/>
      <c r="CC207" s="55"/>
      <c r="CD207" s="36"/>
      <c r="CE207" s="55"/>
      <c r="CF207" s="36"/>
      <c r="CG207" s="55"/>
      <c r="CH207" s="36"/>
      <c r="CI207" s="55"/>
      <c r="CJ207" s="36"/>
      <c r="CK207" s="55"/>
      <c r="CL207" s="155">
        <v>13.647395670644656</v>
      </c>
      <c r="CM207" s="152"/>
      <c r="CN207" s="155">
        <v>15.647454305888713</v>
      </c>
      <c r="CO207" s="152"/>
      <c r="CP207" s="155">
        <v>13.178844091979899</v>
      </c>
      <c r="CQ207" s="152"/>
      <c r="CR207" s="172">
        <v>10.966924765504416</v>
      </c>
      <c r="CS207" s="169"/>
      <c r="CT207" s="172">
        <v>18.416445492687348</v>
      </c>
      <c r="CU207" s="169" t="s">
        <v>48</v>
      </c>
      <c r="CV207" s="172">
        <v>16.815101531664887</v>
      </c>
      <c r="CW207" s="169" t="s">
        <v>48</v>
      </c>
      <c r="CX207" s="36"/>
      <c r="CY207" s="55"/>
      <c r="CZ207" s="36"/>
      <c r="DA207" s="55"/>
      <c r="DB207" s="71">
        <v>11.292195435154396</v>
      </c>
      <c r="DC207" s="68"/>
      <c r="DD207" s="71">
        <v>14.416986272562573</v>
      </c>
      <c r="DE207" s="68"/>
      <c r="DF207" s="71">
        <v>16.799407433662459</v>
      </c>
      <c r="DG207" s="68" t="s">
        <v>206</v>
      </c>
    </row>
    <row r="208" spans="1:111" outlineLevel="1" x14ac:dyDescent="0.2">
      <c r="A208" s="30"/>
      <c r="B208" s="37" t="s">
        <v>153</v>
      </c>
      <c r="C208" s="38">
        <v>7.5136641349196465</v>
      </c>
      <c r="D208" s="72">
        <v>7.8141332084967985</v>
      </c>
      <c r="E208" s="68"/>
      <c r="F208" s="72">
        <v>7.0206226606918083</v>
      </c>
      <c r="G208" s="68"/>
      <c r="H208" s="88">
        <v>7.3458181821771902</v>
      </c>
      <c r="I208" s="84"/>
      <c r="J208" s="88">
        <v>7.8722261699649252</v>
      </c>
      <c r="K208" s="84"/>
      <c r="L208" s="136"/>
      <c r="M208" s="132"/>
      <c r="N208" s="136"/>
      <c r="O208" s="132"/>
      <c r="P208" s="104">
        <v>5.6981722682495555</v>
      </c>
      <c r="Q208" s="100"/>
      <c r="R208" s="104">
        <v>7.5931269266297852</v>
      </c>
      <c r="S208" s="100"/>
      <c r="T208" s="104">
        <v>8.7334824956478236</v>
      </c>
      <c r="U208" s="100"/>
      <c r="V208" s="120">
        <v>8.0356945670454341</v>
      </c>
      <c r="W208" s="116"/>
      <c r="X208" s="120">
        <v>8.1341812049057971</v>
      </c>
      <c r="Y208" s="116"/>
      <c r="Z208" s="120">
        <v>8.3926695398702442</v>
      </c>
      <c r="AA208" s="116"/>
      <c r="AB208" s="156">
        <v>9.5147900110920336</v>
      </c>
      <c r="AC208" s="152" t="s">
        <v>261</v>
      </c>
      <c r="AD208" s="156">
        <v>6.2611042746133547</v>
      </c>
      <c r="AE208" s="152"/>
      <c r="AF208" s="156">
        <v>4.9518392262565403</v>
      </c>
      <c r="AG208" s="152"/>
      <c r="AH208" s="156">
        <v>10.05435865177963</v>
      </c>
      <c r="AI208" s="152" t="s">
        <v>261</v>
      </c>
      <c r="AJ208" s="173">
        <v>8.8525437520148333</v>
      </c>
      <c r="AK208" s="169" t="s">
        <v>187</v>
      </c>
      <c r="AL208" s="173">
        <v>6.2086996403878976</v>
      </c>
      <c r="AM208" s="169"/>
      <c r="AN208" s="38"/>
      <c r="AO208" s="55"/>
      <c r="AP208" s="38"/>
      <c r="AQ208" s="55"/>
      <c r="AR208" s="38"/>
      <c r="AS208" s="55"/>
      <c r="AT208" s="38"/>
      <c r="AU208" s="55"/>
      <c r="AV208" s="38"/>
      <c r="AW208" s="55"/>
      <c r="AX208" s="38"/>
      <c r="AY208" s="55"/>
      <c r="AZ208" s="38"/>
      <c r="BA208" s="55"/>
      <c r="BB208" s="38"/>
      <c r="BC208" s="55"/>
      <c r="BD208" s="72">
        <v>6.9058040119656896</v>
      </c>
      <c r="BE208" s="68"/>
      <c r="BF208" s="72">
        <v>7.2051222721927379</v>
      </c>
      <c r="BG208" s="68"/>
      <c r="BH208" s="72">
        <v>7.1925831083995515</v>
      </c>
      <c r="BI208" s="68"/>
      <c r="BJ208" s="72">
        <v>8.8789387381126872</v>
      </c>
      <c r="BK208" s="68"/>
      <c r="BL208" s="88">
        <v>7.4810216396923375</v>
      </c>
      <c r="BM208" s="84"/>
      <c r="BN208" s="88">
        <v>7.625849859369886</v>
      </c>
      <c r="BO208" s="84"/>
      <c r="BP208" s="104">
        <v>9.1458816868535848</v>
      </c>
      <c r="BQ208" s="100"/>
      <c r="BR208" s="104">
        <v>6.708392068219533</v>
      </c>
      <c r="BS208" s="100"/>
      <c r="BT208" s="120">
        <v>7.2919341946170242</v>
      </c>
      <c r="BU208" s="116"/>
      <c r="BV208" s="120">
        <v>7.6539919922361603</v>
      </c>
      <c r="BW208" s="116"/>
      <c r="BX208" s="38"/>
      <c r="BY208" s="55"/>
      <c r="BZ208" s="38"/>
      <c r="CA208" s="55"/>
      <c r="CB208" s="38"/>
      <c r="CC208" s="55"/>
      <c r="CD208" s="38"/>
      <c r="CE208" s="55"/>
      <c r="CF208" s="38"/>
      <c r="CG208" s="55"/>
      <c r="CH208" s="38"/>
      <c r="CI208" s="55"/>
      <c r="CJ208" s="38"/>
      <c r="CK208" s="55"/>
      <c r="CL208" s="156">
        <v>7.2830831669926148</v>
      </c>
      <c r="CM208" s="152"/>
      <c r="CN208" s="156">
        <v>8.1972701780465549</v>
      </c>
      <c r="CO208" s="152"/>
      <c r="CP208" s="156">
        <v>6.8429261775403951</v>
      </c>
      <c r="CQ208" s="152"/>
      <c r="CR208" s="173">
        <v>7.5326526766796089</v>
      </c>
      <c r="CS208" s="169"/>
      <c r="CT208" s="173">
        <v>8.4093241857809584</v>
      </c>
      <c r="CU208" s="169"/>
      <c r="CV208" s="173">
        <v>8.1213090968888846</v>
      </c>
      <c r="CW208" s="169"/>
      <c r="CX208" s="38"/>
      <c r="CY208" s="55"/>
      <c r="CZ208" s="38"/>
      <c r="DA208" s="55"/>
      <c r="DB208" s="72">
        <v>6.2047140835951424</v>
      </c>
      <c r="DC208" s="68"/>
      <c r="DD208" s="72">
        <v>8.5247770230803237</v>
      </c>
      <c r="DE208" s="68"/>
      <c r="DF208" s="72">
        <v>7.1163525838247113</v>
      </c>
      <c r="DG208" s="68"/>
    </row>
    <row r="209" spans="1:111" outlineLevel="1" x14ac:dyDescent="0.2">
      <c r="A209" s="30"/>
      <c r="B209" s="37" t="s">
        <v>154</v>
      </c>
      <c r="C209" s="38">
        <v>6.4458496045329667</v>
      </c>
      <c r="D209" s="72">
        <v>4.7945537925049955</v>
      </c>
      <c r="E209" s="68"/>
      <c r="F209" s="72">
        <v>9.1554706375923747</v>
      </c>
      <c r="G209" s="68" t="s">
        <v>174</v>
      </c>
      <c r="H209" s="88">
        <v>4.4261032792112935</v>
      </c>
      <c r="I209" s="84"/>
      <c r="J209" s="88">
        <v>10.760546151275337</v>
      </c>
      <c r="K209" s="84" t="s">
        <v>176</v>
      </c>
      <c r="L209" s="136"/>
      <c r="M209" s="132"/>
      <c r="N209" s="136"/>
      <c r="O209" s="132"/>
      <c r="P209" s="104">
        <v>5.3159592673127678</v>
      </c>
      <c r="Q209" s="100"/>
      <c r="R209" s="104">
        <v>9.1153850145827064</v>
      </c>
      <c r="S209" s="100"/>
      <c r="T209" s="104">
        <v>14.523279561478253</v>
      </c>
      <c r="U209" s="100" t="s">
        <v>180</v>
      </c>
      <c r="V209" s="120">
        <v>7.0338427808782162</v>
      </c>
      <c r="W209" s="116"/>
      <c r="X209" s="120">
        <v>10.441732211847414</v>
      </c>
      <c r="Y209" s="116"/>
      <c r="Z209" s="120">
        <v>15.614021330394696</v>
      </c>
      <c r="AA209" s="116" t="s">
        <v>183</v>
      </c>
      <c r="AB209" s="156">
        <v>7.2215738152036835</v>
      </c>
      <c r="AC209" s="152"/>
      <c r="AD209" s="156">
        <v>6.3943465083418358</v>
      </c>
      <c r="AE209" s="152"/>
      <c r="AF209" s="156">
        <v>6.7572076000211405</v>
      </c>
      <c r="AG209" s="152"/>
      <c r="AH209" s="156">
        <v>5.4541594590344395</v>
      </c>
      <c r="AI209" s="152"/>
      <c r="AJ209" s="173">
        <v>7.0258628098127254</v>
      </c>
      <c r="AK209" s="169"/>
      <c r="AL209" s="173">
        <v>5.8805286977200053</v>
      </c>
      <c r="AM209" s="169"/>
      <c r="AN209" s="38"/>
      <c r="AO209" s="55"/>
      <c r="AP209" s="38"/>
      <c r="AQ209" s="55"/>
      <c r="AR209" s="38"/>
      <c r="AS209" s="55"/>
      <c r="AT209" s="38"/>
      <c r="AU209" s="55"/>
      <c r="AV209" s="38"/>
      <c r="AW209" s="55"/>
      <c r="AX209" s="38"/>
      <c r="AY209" s="55"/>
      <c r="AZ209" s="38"/>
      <c r="BA209" s="55"/>
      <c r="BB209" s="38"/>
      <c r="BC209" s="55"/>
      <c r="BD209" s="72">
        <v>6.130130220050952</v>
      </c>
      <c r="BE209" s="68"/>
      <c r="BF209" s="72">
        <v>6.9167072154862179</v>
      </c>
      <c r="BG209" s="68"/>
      <c r="BH209" s="72">
        <v>6.3415751071917192</v>
      </c>
      <c r="BI209" s="68"/>
      <c r="BJ209" s="72">
        <v>6.0654421697893346</v>
      </c>
      <c r="BK209" s="68"/>
      <c r="BL209" s="88">
        <v>8.0979541375079958</v>
      </c>
      <c r="BM209" s="84" t="s">
        <v>196</v>
      </c>
      <c r="BN209" s="88">
        <v>4.9338012029490672</v>
      </c>
      <c r="BO209" s="84"/>
      <c r="BP209" s="104">
        <v>9.6164644223419007</v>
      </c>
      <c r="BQ209" s="100" t="s">
        <v>198</v>
      </c>
      <c r="BR209" s="104">
        <v>5.0611412464253984</v>
      </c>
      <c r="BS209" s="100"/>
      <c r="BT209" s="120">
        <v>5.5346182370136523</v>
      </c>
      <c r="BU209" s="116"/>
      <c r="BV209" s="120">
        <v>7.1893290567679111</v>
      </c>
      <c r="BW209" s="116"/>
      <c r="BX209" s="38"/>
      <c r="BY209" s="55"/>
      <c r="BZ209" s="38"/>
      <c r="CA209" s="55"/>
      <c r="CB209" s="38"/>
      <c r="CC209" s="55"/>
      <c r="CD209" s="38"/>
      <c r="CE209" s="55"/>
      <c r="CF209" s="38"/>
      <c r="CG209" s="55"/>
      <c r="CH209" s="38"/>
      <c r="CI209" s="55"/>
      <c r="CJ209" s="38"/>
      <c r="CK209" s="55"/>
      <c r="CL209" s="156">
        <v>6.3643125036520409</v>
      </c>
      <c r="CM209" s="152"/>
      <c r="CN209" s="156">
        <v>7.4501841278421566</v>
      </c>
      <c r="CO209" s="152"/>
      <c r="CP209" s="156">
        <v>6.3359179144395039</v>
      </c>
      <c r="CQ209" s="152"/>
      <c r="CR209" s="173">
        <v>3.4342720888248075</v>
      </c>
      <c r="CS209" s="169"/>
      <c r="CT209" s="173">
        <v>10.007121306906392</v>
      </c>
      <c r="CU209" s="169" t="s">
        <v>48</v>
      </c>
      <c r="CV209" s="173">
        <v>8.6937924347760003</v>
      </c>
      <c r="CW209" s="169" t="s">
        <v>48</v>
      </c>
      <c r="CX209" s="38"/>
      <c r="CY209" s="55"/>
      <c r="CZ209" s="38"/>
      <c r="DA209" s="55"/>
      <c r="DB209" s="72">
        <v>5.0874813515592532</v>
      </c>
      <c r="DC209" s="68"/>
      <c r="DD209" s="72">
        <v>5.8922092494822493</v>
      </c>
      <c r="DE209" s="68"/>
      <c r="DF209" s="72">
        <v>9.6830548498377471</v>
      </c>
      <c r="DG209" s="68" t="s">
        <v>249</v>
      </c>
    </row>
    <row r="210" spans="1:111" outlineLevel="1" x14ac:dyDescent="0.2">
      <c r="A210" s="30"/>
      <c r="B210" s="30"/>
      <c r="E210" s="66"/>
      <c r="G210" s="66"/>
      <c r="I210" s="82"/>
      <c r="K210" s="82"/>
      <c r="M210" s="130"/>
      <c r="O210" s="130"/>
      <c r="Q210" s="98"/>
      <c r="S210" s="98"/>
      <c r="U210" s="98"/>
      <c r="W210" s="114"/>
      <c r="Y210" s="114"/>
      <c r="AA210" s="114"/>
      <c r="AC210" s="150"/>
      <c r="AE210" s="150"/>
      <c r="AG210" s="150"/>
      <c r="AI210" s="150"/>
      <c r="AK210" s="167"/>
      <c r="AM210" s="167"/>
      <c r="AO210" s="54"/>
      <c r="AQ210" s="54"/>
      <c r="AS210" s="54"/>
      <c r="AU210" s="54"/>
      <c r="AW210" s="54"/>
      <c r="AY210" s="54"/>
      <c r="BA210" s="54"/>
      <c r="BC210" s="54"/>
      <c r="BE210" s="66"/>
      <c r="BG210" s="66"/>
      <c r="BI210" s="66"/>
      <c r="BK210" s="66"/>
      <c r="BM210" s="82"/>
      <c r="BO210" s="82"/>
      <c r="BQ210" s="98"/>
      <c r="BS210" s="98"/>
      <c r="BU210" s="114"/>
      <c r="BW210" s="114"/>
      <c r="BY210" s="54"/>
      <c r="CA210" s="54"/>
      <c r="CC210" s="54"/>
      <c r="CE210" s="54"/>
      <c r="CG210" s="54"/>
      <c r="CI210" s="54"/>
      <c r="CK210" s="54"/>
      <c r="CM210" s="150"/>
      <c r="CO210" s="150"/>
      <c r="CQ210" s="150"/>
      <c r="CS210" s="167"/>
      <c r="CU210" s="167"/>
      <c r="CW210" s="167"/>
      <c r="CY210" s="54"/>
      <c r="DA210" s="54"/>
      <c r="DC210" s="66"/>
      <c r="DE210" s="66"/>
      <c r="DG210" s="66"/>
    </row>
    <row r="211" spans="1:111" x14ac:dyDescent="0.2">
      <c r="A211" s="30"/>
      <c r="B211" s="30"/>
      <c r="E211" s="66"/>
      <c r="G211" s="66"/>
      <c r="I211" s="82"/>
      <c r="K211" s="82"/>
      <c r="M211" s="130"/>
      <c r="O211" s="130"/>
      <c r="Q211" s="98"/>
      <c r="S211" s="98"/>
      <c r="U211" s="98"/>
      <c r="W211" s="114"/>
      <c r="Y211" s="114"/>
      <c r="AA211" s="114"/>
      <c r="AC211" s="150"/>
      <c r="AE211" s="150"/>
      <c r="AG211" s="150"/>
      <c r="AI211" s="150"/>
      <c r="AK211" s="167"/>
      <c r="AM211" s="167"/>
      <c r="AO211" s="54"/>
      <c r="AQ211" s="54"/>
      <c r="AS211" s="54"/>
      <c r="AU211" s="54"/>
      <c r="AW211" s="54"/>
      <c r="AY211" s="54"/>
      <c r="BA211" s="54"/>
      <c r="BC211" s="54"/>
      <c r="BE211" s="66"/>
      <c r="BG211" s="66"/>
      <c r="BI211" s="66"/>
      <c r="BK211" s="66"/>
      <c r="BM211" s="82"/>
      <c r="BO211" s="82"/>
      <c r="BQ211" s="98"/>
      <c r="BS211" s="98"/>
      <c r="BU211" s="114"/>
      <c r="BW211" s="114"/>
      <c r="BY211" s="54"/>
      <c r="CA211" s="54"/>
      <c r="CC211" s="54"/>
      <c r="CE211" s="54"/>
      <c r="CG211" s="54"/>
      <c r="CI211" s="54"/>
      <c r="CK211" s="54"/>
      <c r="CM211" s="150"/>
      <c r="CO211" s="150"/>
      <c r="CQ211" s="150"/>
      <c r="CS211" s="167"/>
      <c r="CU211" s="167"/>
      <c r="CW211" s="167"/>
      <c r="CY211" s="54"/>
      <c r="DA211" s="54"/>
      <c r="DC211" s="66"/>
      <c r="DE211" s="66"/>
      <c r="DG211" s="66"/>
    </row>
    <row r="212" spans="1:111" x14ac:dyDescent="0.2">
      <c r="A212" s="28" t="s">
        <v>159</v>
      </c>
      <c r="B212" s="29" t="s">
        <v>160</v>
      </c>
      <c r="E212" s="66"/>
      <c r="G212" s="66"/>
      <c r="I212" s="82"/>
      <c r="K212" s="82"/>
      <c r="M212" s="130"/>
      <c r="O212" s="130"/>
      <c r="Q212" s="98"/>
      <c r="S212" s="98"/>
      <c r="U212" s="98"/>
      <c r="W212" s="114"/>
      <c r="Y212" s="114"/>
      <c r="AA212" s="114"/>
      <c r="AC212" s="150"/>
      <c r="AE212" s="150"/>
      <c r="AG212" s="150"/>
      <c r="AI212" s="150"/>
      <c r="AK212" s="167"/>
      <c r="AM212" s="167"/>
      <c r="AO212" s="54"/>
      <c r="AQ212" s="54"/>
      <c r="AS212" s="54"/>
      <c r="AU212" s="54"/>
      <c r="AW212" s="54"/>
      <c r="AY212" s="54"/>
      <c r="BA212" s="54"/>
      <c r="BC212" s="54"/>
      <c r="BE212" s="66"/>
      <c r="BG212" s="66"/>
      <c r="BI212" s="66"/>
      <c r="BK212" s="66"/>
      <c r="BM212" s="82"/>
      <c r="BO212" s="82"/>
      <c r="BQ212" s="98"/>
      <c r="BS212" s="98"/>
      <c r="BU212" s="114"/>
      <c r="BW212" s="114"/>
      <c r="BY212" s="54"/>
      <c r="CA212" s="54"/>
      <c r="CC212" s="54"/>
      <c r="CE212" s="54"/>
      <c r="CG212" s="54"/>
      <c r="CI212" s="54"/>
      <c r="CK212" s="54"/>
      <c r="CM212" s="150"/>
      <c r="CO212" s="150"/>
      <c r="CQ212" s="150"/>
      <c r="CS212" s="167"/>
      <c r="CU212" s="167"/>
      <c r="CW212" s="167"/>
      <c r="CY212" s="54"/>
      <c r="DA212" s="54"/>
      <c r="DC212" s="66"/>
      <c r="DE212" s="66"/>
      <c r="DG212" s="66"/>
    </row>
    <row r="213" spans="1:111" outlineLevel="1" x14ac:dyDescent="0.2">
      <c r="A213" s="30"/>
      <c r="B213" s="32" t="s">
        <v>63</v>
      </c>
      <c r="C213" s="31">
        <f>697.229271339924+34.7707286600755</f>
        <v>731.99999999999955</v>
      </c>
      <c r="D213" s="67">
        <f>0+0</f>
        <v>0</v>
      </c>
      <c r="E213" s="68"/>
      <c r="F213" s="67">
        <f>697.229271339924+34.7707286600755</f>
        <v>731.99999999999955</v>
      </c>
      <c r="G213" s="68"/>
      <c r="H213" s="83">
        <f>108.389601570209+6.61039842979146</f>
        <v>115.00000000000045</v>
      </c>
      <c r="I213" s="84"/>
      <c r="J213" s="83">
        <f>588.872678023413+28.1273219765872</f>
        <v>617.00000000000011</v>
      </c>
      <c r="K213" s="84"/>
      <c r="L213" s="131"/>
      <c r="M213" s="132"/>
      <c r="N213" s="131"/>
      <c r="O213" s="132"/>
      <c r="P213" s="99">
        <f>197.775455801689+12.2245441983108</f>
        <v>209.9999999999998</v>
      </c>
      <c r="Q213" s="100"/>
      <c r="R213" s="99">
        <f>183.624369897672+9.37563010232844</f>
        <v>193.00000000000045</v>
      </c>
      <c r="S213" s="100"/>
      <c r="T213" s="99">
        <f>202.167219603481+6.83278039651879</f>
        <v>208.99999999999977</v>
      </c>
      <c r="U213" s="100"/>
      <c r="V213" s="115">
        <f>142.903095748811+7.09690425118887</f>
        <v>149.99999999999989</v>
      </c>
      <c r="W213" s="116"/>
      <c r="X213" s="115">
        <f>159.312800786456+8.68719921354355</f>
        <v>167.99999999999955</v>
      </c>
      <c r="Y213" s="116"/>
      <c r="Z213" s="115">
        <f>187.399553476067+6.60044652393256</f>
        <v>193.99999999999957</v>
      </c>
      <c r="AA213" s="116"/>
      <c r="AB213" s="151">
        <f>208.712119511624+8.28788048837572</f>
        <v>216.99999999999972</v>
      </c>
      <c r="AC213" s="152"/>
      <c r="AD213" s="151">
        <f>325.192210296743+17.807789703257</f>
        <v>343</v>
      </c>
      <c r="AE213" s="152"/>
      <c r="AF213" s="151">
        <f>115.004887560678+3.99511243932177</f>
        <v>118.99999999999977</v>
      </c>
      <c r="AG213" s="152"/>
      <c r="AH213" s="151">
        <f>51.6589616511431+1.34103834885692</f>
        <v>53.000000000000021</v>
      </c>
      <c r="AI213" s="152"/>
      <c r="AJ213" s="168">
        <f>285.680783112892+11.319216887108</f>
        <v>297</v>
      </c>
      <c r="AK213" s="169"/>
      <c r="AL213" s="168">
        <f>411.777536847407+23.2224631525931</f>
        <v>435.00000000000011</v>
      </c>
      <c r="AM213" s="169"/>
      <c r="AN213" s="31"/>
      <c r="AO213" s="55"/>
      <c r="AP213" s="31"/>
      <c r="AQ213" s="55"/>
      <c r="AR213" s="31"/>
      <c r="AS213" s="55"/>
      <c r="AT213" s="31"/>
      <c r="AU213" s="55"/>
      <c r="AV213" s="31"/>
      <c r="AW213" s="55"/>
      <c r="AX213" s="31"/>
      <c r="AY213" s="55"/>
      <c r="AZ213" s="31"/>
      <c r="BA213" s="55"/>
      <c r="BB213" s="31"/>
      <c r="BC213" s="55"/>
      <c r="BD213" s="67">
        <f>114.303400105512+3.69659989448833</f>
        <v>118.00000000000033</v>
      </c>
      <c r="BE213" s="68"/>
      <c r="BF213" s="67">
        <f>320.143729237325+8.85627076267514</f>
        <v>329.00000000000011</v>
      </c>
      <c r="BG213" s="68"/>
      <c r="BH213" s="67">
        <f>154.033955500815+4.96604449918459</f>
        <v>158.9999999999996</v>
      </c>
      <c r="BI213" s="68"/>
      <c r="BJ213" s="67">
        <f>116.914459213077+9.08554078692349</f>
        <v>126.00000000000048</v>
      </c>
      <c r="BK213" s="68"/>
      <c r="BL213" s="83">
        <f>437.557569429027+19.4424305709727</f>
        <v>456.99999999999972</v>
      </c>
      <c r="BM213" s="84"/>
      <c r="BN213" s="83">
        <f>224.770174492461+13.2298255075391</f>
        <v>238.00000000000009</v>
      </c>
      <c r="BO213" s="84"/>
      <c r="BP213" s="99">
        <f>305.676105764278+10.3238942357225</f>
        <v>316.00000000000051</v>
      </c>
      <c r="BQ213" s="100"/>
      <c r="BR213" s="99">
        <f>387.334736028857+23.6652639711435</f>
        <v>411.00000000000045</v>
      </c>
      <c r="BS213" s="100"/>
      <c r="BT213" s="115">
        <f>203.733293028276+11.2667069717237</f>
        <v>214.99999999999969</v>
      </c>
      <c r="BU213" s="116"/>
      <c r="BV213" s="115">
        <f>489.286603261412+22.713396738588</f>
        <v>512</v>
      </c>
      <c r="BW213" s="116"/>
      <c r="BX213" s="31"/>
      <c r="BY213" s="55"/>
      <c r="BZ213" s="31"/>
      <c r="CA213" s="55"/>
      <c r="CB213" s="31"/>
      <c r="CC213" s="55"/>
      <c r="CD213" s="31"/>
      <c r="CE213" s="55"/>
      <c r="CF213" s="31"/>
      <c r="CG213" s="55"/>
      <c r="CH213" s="31"/>
      <c r="CI213" s="55"/>
      <c r="CJ213" s="31"/>
      <c r="CK213" s="55"/>
      <c r="CL213" s="151">
        <f>486.495760961447+20.504239038553</f>
        <v>507</v>
      </c>
      <c r="CM213" s="152"/>
      <c r="CN213" s="151">
        <f>130.574243824643+9.42575617535672</f>
        <v>139.99999999999972</v>
      </c>
      <c r="CO213" s="152"/>
      <c r="CP213" s="151">
        <f>102.931344042743+8.06865595725701</f>
        <v>111.00000000000001</v>
      </c>
      <c r="CQ213" s="152"/>
      <c r="CR213" s="168">
        <f>197.775455801689+12.2245441983108</f>
        <v>209.9999999999998</v>
      </c>
      <c r="CS213" s="169"/>
      <c r="CT213" s="168">
        <f>202.167219603481+6.83278039651879</f>
        <v>208.99999999999977</v>
      </c>
      <c r="CU213" s="169"/>
      <c r="CV213" s="168">
        <f>183.624369897672+9.37563010232844</f>
        <v>193.00000000000045</v>
      </c>
      <c r="CW213" s="169"/>
      <c r="CX213" s="31"/>
      <c r="CY213" s="55"/>
      <c r="CZ213" s="31"/>
      <c r="DA213" s="55"/>
      <c r="DB213" s="67">
        <f>189.847824869749+11.1521751302509</f>
        <v>200.99999999999989</v>
      </c>
      <c r="DC213" s="68"/>
      <c r="DD213" s="67">
        <f>301.510371446147+14.4896285538527</f>
        <v>315.99999999999972</v>
      </c>
      <c r="DE213" s="68"/>
      <c r="DF213" s="67">
        <f>205.898931548757+9.10106845124318</f>
        <v>215.00000000000017</v>
      </c>
      <c r="DG213" s="68"/>
    </row>
    <row r="214" spans="1:111" s="35" customFormat="1" outlineLevel="1" x14ac:dyDescent="0.2">
      <c r="A214" s="30"/>
      <c r="B214" s="33"/>
      <c r="C214" s="34" t="s">
        <v>167</v>
      </c>
      <c r="D214" s="69" t="s">
        <v>167</v>
      </c>
      <c r="E214" s="70"/>
      <c r="F214" s="69" t="s">
        <v>167</v>
      </c>
      <c r="G214" s="70"/>
      <c r="H214" s="85" t="s">
        <v>167</v>
      </c>
      <c r="I214" s="86"/>
      <c r="J214" s="85" t="s">
        <v>167</v>
      </c>
      <c r="K214" s="86"/>
      <c r="L214" s="133"/>
      <c r="M214" s="134"/>
      <c r="N214" s="133"/>
      <c r="O214" s="134"/>
      <c r="P214" s="101" t="s">
        <v>167</v>
      </c>
      <c r="Q214" s="102"/>
      <c r="R214" s="101" t="s">
        <v>167</v>
      </c>
      <c r="S214" s="102"/>
      <c r="T214" s="101" t="s">
        <v>167</v>
      </c>
      <c r="U214" s="102"/>
      <c r="V214" s="117" t="s">
        <v>167</v>
      </c>
      <c r="W214" s="118"/>
      <c r="X214" s="117" t="s">
        <v>167</v>
      </c>
      <c r="Y214" s="118"/>
      <c r="Z214" s="117" t="s">
        <v>167</v>
      </c>
      <c r="AA214" s="118"/>
      <c r="AB214" s="153" t="s">
        <v>167</v>
      </c>
      <c r="AC214" s="154"/>
      <c r="AD214" s="153" t="s">
        <v>167</v>
      </c>
      <c r="AE214" s="154"/>
      <c r="AF214" s="153" t="s">
        <v>167</v>
      </c>
      <c r="AG214" s="154"/>
      <c r="AH214" s="153" t="s">
        <v>167</v>
      </c>
      <c r="AI214" s="154"/>
      <c r="AJ214" s="170" t="s">
        <v>167</v>
      </c>
      <c r="AK214" s="171"/>
      <c r="AL214" s="170" t="s">
        <v>167</v>
      </c>
      <c r="AM214" s="171"/>
      <c r="AN214" s="34"/>
      <c r="AO214" s="56"/>
      <c r="AP214" s="34"/>
      <c r="AQ214" s="56"/>
      <c r="AR214" s="34"/>
      <c r="AS214" s="56"/>
      <c r="AT214" s="34"/>
      <c r="AU214" s="56"/>
      <c r="AV214" s="34"/>
      <c r="AW214" s="56"/>
      <c r="AX214" s="34"/>
      <c r="AY214" s="56"/>
      <c r="AZ214" s="34"/>
      <c r="BA214" s="56"/>
      <c r="BB214" s="34"/>
      <c r="BC214" s="56"/>
      <c r="BD214" s="69" t="s">
        <v>167</v>
      </c>
      <c r="BE214" s="70"/>
      <c r="BF214" s="69" t="s">
        <v>167</v>
      </c>
      <c r="BG214" s="70"/>
      <c r="BH214" s="69" t="s">
        <v>167</v>
      </c>
      <c r="BI214" s="70"/>
      <c r="BJ214" s="69" t="s">
        <v>167</v>
      </c>
      <c r="BK214" s="70"/>
      <c r="BL214" s="85" t="s">
        <v>167</v>
      </c>
      <c r="BM214" s="86"/>
      <c r="BN214" s="85" t="s">
        <v>167</v>
      </c>
      <c r="BO214" s="86"/>
      <c r="BP214" s="101" t="s">
        <v>167</v>
      </c>
      <c r="BQ214" s="102"/>
      <c r="BR214" s="101" t="s">
        <v>167</v>
      </c>
      <c r="BS214" s="102"/>
      <c r="BT214" s="117" t="s">
        <v>167</v>
      </c>
      <c r="BU214" s="118"/>
      <c r="BV214" s="117" t="s">
        <v>167</v>
      </c>
      <c r="BW214" s="118"/>
      <c r="BX214" s="34"/>
      <c r="BY214" s="56"/>
      <c r="BZ214" s="34"/>
      <c r="CA214" s="56"/>
      <c r="CB214" s="34"/>
      <c r="CC214" s="56"/>
      <c r="CD214" s="34"/>
      <c r="CE214" s="56"/>
      <c r="CF214" s="34"/>
      <c r="CG214" s="56"/>
      <c r="CH214" s="34"/>
      <c r="CI214" s="56"/>
      <c r="CJ214" s="34"/>
      <c r="CK214" s="56"/>
      <c r="CL214" s="153" t="s">
        <v>167</v>
      </c>
      <c r="CM214" s="154"/>
      <c r="CN214" s="153" t="s">
        <v>167</v>
      </c>
      <c r="CO214" s="154"/>
      <c r="CP214" s="153" t="s">
        <v>167</v>
      </c>
      <c r="CQ214" s="154"/>
      <c r="CR214" s="170" t="s">
        <v>167</v>
      </c>
      <c r="CS214" s="171"/>
      <c r="CT214" s="170" t="s">
        <v>167</v>
      </c>
      <c r="CU214" s="171"/>
      <c r="CV214" s="170" t="s">
        <v>167</v>
      </c>
      <c r="CW214" s="171"/>
      <c r="CX214" s="34"/>
      <c r="CY214" s="56"/>
      <c r="CZ214" s="34"/>
      <c r="DA214" s="56"/>
      <c r="DB214" s="69" t="s">
        <v>167</v>
      </c>
      <c r="DC214" s="70"/>
      <c r="DD214" s="69" t="s">
        <v>167</v>
      </c>
      <c r="DE214" s="70"/>
      <c r="DF214" s="69" t="s">
        <v>167</v>
      </c>
      <c r="DG214" s="70"/>
    </row>
    <row r="215" spans="1:111" outlineLevel="1" x14ac:dyDescent="0.2">
      <c r="A215" s="30"/>
      <c r="B215" s="30"/>
      <c r="E215" s="66"/>
      <c r="G215" s="66"/>
      <c r="I215" s="82"/>
      <c r="K215" s="82"/>
      <c r="M215" s="130"/>
      <c r="O215" s="130"/>
      <c r="Q215" s="98"/>
      <c r="S215" s="98"/>
      <c r="U215" s="98"/>
      <c r="W215" s="114"/>
      <c r="Y215" s="114"/>
      <c r="AA215" s="114"/>
      <c r="AC215" s="150"/>
      <c r="AE215" s="150"/>
      <c r="AG215" s="150"/>
      <c r="AI215" s="150"/>
      <c r="AK215" s="167"/>
      <c r="AM215" s="167"/>
      <c r="AO215" s="54"/>
      <c r="AQ215" s="54"/>
      <c r="AS215" s="54"/>
      <c r="AU215" s="54"/>
      <c r="AW215" s="54"/>
      <c r="AY215" s="54"/>
      <c r="BA215" s="54"/>
      <c r="BC215" s="54"/>
      <c r="BE215" s="66"/>
      <c r="BG215" s="66"/>
      <c r="BI215" s="66"/>
      <c r="BK215" s="66"/>
      <c r="BM215" s="82"/>
      <c r="BO215" s="82"/>
      <c r="BQ215" s="98"/>
      <c r="BS215" s="98"/>
      <c r="BU215" s="114"/>
      <c r="BW215" s="114"/>
      <c r="BY215" s="54"/>
      <c r="CA215" s="54"/>
      <c r="CC215" s="54"/>
      <c r="CE215" s="54"/>
      <c r="CG215" s="54"/>
      <c r="CI215" s="54"/>
      <c r="CK215" s="54"/>
      <c r="CM215" s="150"/>
      <c r="CO215" s="150"/>
      <c r="CQ215" s="150"/>
      <c r="CS215" s="167"/>
      <c r="CU215" s="167"/>
      <c r="CW215" s="167"/>
      <c r="CY215" s="54"/>
      <c r="DA215" s="54"/>
      <c r="DC215" s="66"/>
      <c r="DE215" s="66"/>
      <c r="DG215" s="66"/>
    </row>
    <row r="216" spans="1:111" outlineLevel="1" x14ac:dyDescent="0.2">
      <c r="A216" s="30"/>
      <c r="B216" s="29" t="s">
        <v>92</v>
      </c>
      <c r="C216" s="36">
        <v>34.038442044992863</v>
      </c>
      <c r="D216" s="71">
        <v>0</v>
      </c>
      <c r="E216" s="68"/>
      <c r="F216" s="71">
        <v>34.038442044992863</v>
      </c>
      <c r="G216" s="68"/>
      <c r="H216" s="87">
        <v>71.484916264900804</v>
      </c>
      <c r="I216" s="84" t="s">
        <v>177</v>
      </c>
      <c r="J216" s="87">
        <v>27.014662889812552</v>
      </c>
      <c r="K216" s="84"/>
      <c r="L216" s="135"/>
      <c r="M216" s="132"/>
      <c r="N216" s="135"/>
      <c r="O216" s="132"/>
      <c r="P216" s="103">
        <v>50.594200271260185</v>
      </c>
      <c r="Q216" s="100" t="s">
        <v>250</v>
      </c>
      <c r="R216" s="103">
        <v>29.394117097574391</v>
      </c>
      <c r="S216" s="100"/>
      <c r="T216" s="103">
        <v>22.797633883804103</v>
      </c>
      <c r="U216" s="100"/>
      <c r="V216" s="119">
        <v>38.859869913192924</v>
      </c>
      <c r="W216" s="116" t="s">
        <v>251</v>
      </c>
      <c r="X216" s="119">
        <v>24.544978429685891</v>
      </c>
      <c r="Y216" s="116"/>
      <c r="Z216" s="119">
        <v>19.107669313967683</v>
      </c>
      <c r="AA216" s="116"/>
      <c r="AB216" s="155">
        <v>39.36198837362101</v>
      </c>
      <c r="AC216" s="152" t="s">
        <v>173</v>
      </c>
      <c r="AD216" s="155">
        <v>33.523891000501884</v>
      </c>
      <c r="AE216" s="152"/>
      <c r="AF216" s="155">
        <v>31.316986077743419</v>
      </c>
      <c r="AG216" s="152"/>
      <c r="AH216" s="155">
        <v>21.15817741728581</v>
      </c>
      <c r="AI216" s="152"/>
      <c r="AJ216" s="172">
        <v>35.371325571936758</v>
      </c>
      <c r="AK216" s="169"/>
      <c r="AL216" s="172">
        <v>33.079116300181276</v>
      </c>
      <c r="AM216" s="169"/>
      <c r="AN216" s="36"/>
      <c r="AO216" s="55"/>
      <c r="AP216" s="36"/>
      <c r="AQ216" s="55"/>
      <c r="AR216" s="36"/>
      <c r="AS216" s="55"/>
      <c r="AT216" s="36"/>
      <c r="AU216" s="55"/>
      <c r="AV216" s="36"/>
      <c r="AW216" s="55"/>
      <c r="AX216" s="36"/>
      <c r="AY216" s="55"/>
      <c r="AZ216" s="36"/>
      <c r="BA216" s="55"/>
      <c r="BB216" s="36"/>
      <c r="BC216" s="55"/>
      <c r="BD216" s="71">
        <v>32.323440867645978</v>
      </c>
      <c r="BE216" s="68"/>
      <c r="BF216" s="71">
        <v>35.263321188498651</v>
      </c>
      <c r="BG216" s="68"/>
      <c r="BH216" s="71">
        <v>34.548891780851513</v>
      </c>
      <c r="BI216" s="68"/>
      <c r="BJ216" s="71">
        <v>32.268435216109651</v>
      </c>
      <c r="BK216" s="68"/>
      <c r="BL216" s="87">
        <v>34.879476977063334</v>
      </c>
      <c r="BM216" s="84"/>
      <c r="BN216" s="87">
        <v>33.093061775351202</v>
      </c>
      <c r="BO216" s="84"/>
      <c r="BP216" s="103">
        <v>31.426955751859612</v>
      </c>
      <c r="BQ216" s="100"/>
      <c r="BR216" s="103">
        <v>35.956358257684556</v>
      </c>
      <c r="BS216" s="100"/>
      <c r="BT216" s="119">
        <v>38.249539550343385</v>
      </c>
      <c r="BU216" s="116"/>
      <c r="BV216" s="119">
        <v>31.94626375478099</v>
      </c>
      <c r="BW216" s="116"/>
      <c r="BX216" s="36"/>
      <c r="BY216" s="55"/>
      <c r="BZ216" s="36"/>
      <c r="CA216" s="55"/>
      <c r="CB216" s="36"/>
      <c r="CC216" s="55"/>
      <c r="CD216" s="36"/>
      <c r="CE216" s="55"/>
      <c r="CF216" s="36"/>
      <c r="CG216" s="55"/>
      <c r="CH216" s="36"/>
      <c r="CI216" s="55"/>
      <c r="CJ216" s="36"/>
      <c r="CK216" s="55"/>
      <c r="CL216" s="155">
        <v>30.659946415723251</v>
      </c>
      <c r="CM216" s="152"/>
      <c r="CN216" s="155">
        <v>42.786459410183639</v>
      </c>
      <c r="CO216" s="152" t="s">
        <v>201</v>
      </c>
      <c r="CP216" s="155">
        <v>36.662149695656204</v>
      </c>
      <c r="CQ216" s="152"/>
      <c r="CR216" s="172">
        <v>50.594200271260185</v>
      </c>
      <c r="CS216" s="169" t="s">
        <v>243</v>
      </c>
      <c r="CT216" s="172">
        <v>22.797633883804103</v>
      </c>
      <c r="CU216" s="169"/>
      <c r="CV216" s="172">
        <v>29.394117097574391</v>
      </c>
      <c r="CW216" s="169"/>
      <c r="CX216" s="36"/>
      <c r="CY216" s="55"/>
      <c r="CZ216" s="36"/>
      <c r="DA216" s="55"/>
      <c r="DB216" s="71">
        <v>41.876985114750831</v>
      </c>
      <c r="DC216" s="68" t="s">
        <v>208</v>
      </c>
      <c r="DD216" s="71">
        <v>33.411846295288903</v>
      </c>
      <c r="DE216" s="68"/>
      <c r="DF216" s="71">
        <v>27.68400960202521</v>
      </c>
      <c r="DG216" s="68"/>
    </row>
    <row r="217" spans="1:111" outlineLevel="1" x14ac:dyDescent="0.2">
      <c r="A217" s="30"/>
      <c r="B217" s="37" t="s">
        <v>93</v>
      </c>
      <c r="C217" s="38">
        <v>13.736846663786888</v>
      </c>
      <c r="D217" s="72">
        <v>0</v>
      </c>
      <c r="E217" s="68"/>
      <c r="F217" s="72">
        <v>13.736846663786888</v>
      </c>
      <c r="G217" s="68"/>
      <c r="H217" s="88">
        <v>45.233127995945154</v>
      </c>
      <c r="I217" s="84" t="s">
        <v>177</v>
      </c>
      <c r="J217" s="88">
        <v>7.8291362879753921</v>
      </c>
      <c r="K217" s="84"/>
      <c r="L217" s="136"/>
      <c r="M217" s="132"/>
      <c r="N217" s="136"/>
      <c r="O217" s="132"/>
      <c r="P217" s="104">
        <v>25.899083239290775</v>
      </c>
      <c r="Q217" s="100" t="s">
        <v>250</v>
      </c>
      <c r="R217" s="104">
        <v>11.80244325199539</v>
      </c>
      <c r="S217" s="100"/>
      <c r="T217" s="104">
        <v>6.7397407435316303</v>
      </c>
      <c r="U217" s="100"/>
      <c r="V217" s="120">
        <v>13.688628212601381</v>
      </c>
      <c r="W217" s="116" t="s">
        <v>185</v>
      </c>
      <c r="X217" s="120">
        <v>7.0648500481222802</v>
      </c>
      <c r="Y217" s="116"/>
      <c r="Z217" s="120">
        <v>5.2491445563455512</v>
      </c>
      <c r="AA217" s="116"/>
      <c r="AB217" s="156">
        <v>16.057534065906562</v>
      </c>
      <c r="AC217" s="152"/>
      <c r="AD217" s="156">
        <v>13.342752310907528</v>
      </c>
      <c r="AE217" s="152"/>
      <c r="AF217" s="156">
        <v>11.548235310854523</v>
      </c>
      <c r="AG217" s="152"/>
      <c r="AH217" s="156">
        <v>11.792910122118174</v>
      </c>
      <c r="AI217" s="152"/>
      <c r="AJ217" s="173">
        <v>15.744214695557881</v>
      </c>
      <c r="AK217" s="169"/>
      <c r="AL217" s="173">
        <v>12.292069387106869</v>
      </c>
      <c r="AM217" s="169"/>
      <c r="AN217" s="38"/>
      <c r="AO217" s="55"/>
      <c r="AP217" s="38"/>
      <c r="AQ217" s="55"/>
      <c r="AR217" s="38"/>
      <c r="AS217" s="55"/>
      <c r="AT217" s="38"/>
      <c r="AU217" s="55"/>
      <c r="AV217" s="38"/>
      <c r="AW217" s="55"/>
      <c r="AX217" s="38"/>
      <c r="AY217" s="55"/>
      <c r="AZ217" s="38"/>
      <c r="BA217" s="55"/>
      <c r="BB217" s="38"/>
      <c r="BC217" s="55"/>
      <c r="BD217" s="72">
        <v>12.807280486172001</v>
      </c>
      <c r="BE217" s="68"/>
      <c r="BF217" s="72">
        <v>14.234683794960354</v>
      </c>
      <c r="BG217" s="68"/>
      <c r="BH217" s="72">
        <v>11.698669950192464</v>
      </c>
      <c r="BI217" s="68"/>
      <c r="BJ217" s="72">
        <v>15.857933522031983</v>
      </c>
      <c r="BK217" s="68"/>
      <c r="BL217" s="88">
        <v>13.729949327507811</v>
      </c>
      <c r="BM217" s="84"/>
      <c r="BN217" s="88">
        <v>13.750812833568492</v>
      </c>
      <c r="BO217" s="84"/>
      <c r="BP217" s="104">
        <v>11.664556673098451</v>
      </c>
      <c r="BQ217" s="100"/>
      <c r="BR217" s="104">
        <v>15.216727412349254</v>
      </c>
      <c r="BS217" s="100"/>
      <c r="BT217" s="120">
        <v>14.531146801552909</v>
      </c>
      <c r="BU217" s="116"/>
      <c r="BV217" s="120">
        <v>13.300169778747135</v>
      </c>
      <c r="BW217" s="116"/>
      <c r="BX217" s="38"/>
      <c r="BY217" s="55"/>
      <c r="BZ217" s="38"/>
      <c r="CA217" s="55"/>
      <c r="CB217" s="38"/>
      <c r="CC217" s="55"/>
      <c r="CD217" s="38"/>
      <c r="CE217" s="55"/>
      <c r="CF217" s="38"/>
      <c r="CG217" s="55"/>
      <c r="CH217" s="38"/>
      <c r="CI217" s="55"/>
      <c r="CJ217" s="38"/>
      <c r="CK217" s="55"/>
      <c r="CL217" s="156">
        <v>11.584618178898522</v>
      </c>
      <c r="CM217" s="152"/>
      <c r="CN217" s="156">
        <v>16.576809578407232</v>
      </c>
      <c r="CO217" s="152"/>
      <c r="CP217" s="156">
        <v>20.386046532158037</v>
      </c>
      <c r="CQ217" s="152" t="s">
        <v>201</v>
      </c>
      <c r="CR217" s="173">
        <v>25.899083239290775</v>
      </c>
      <c r="CS217" s="169" t="s">
        <v>243</v>
      </c>
      <c r="CT217" s="173">
        <v>6.7397407435316303</v>
      </c>
      <c r="CU217" s="169"/>
      <c r="CV217" s="173">
        <v>11.80244325199539</v>
      </c>
      <c r="CW217" s="169"/>
      <c r="CX217" s="38"/>
      <c r="CY217" s="55"/>
      <c r="CZ217" s="38"/>
      <c r="DA217" s="55"/>
      <c r="DB217" s="72">
        <v>18.83840294717977</v>
      </c>
      <c r="DC217" s="68" t="s">
        <v>208</v>
      </c>
      <c r="DD217" s="72">
        <v>13.002866295734277</v>
      </c>
      <c r="DE217" s="68"/>
      <c r="DF217" s="72">
        <v>10.074146307261117</v>
      </c>
      <c r="DG217" s="68"/>
    </row>
    <row r="218" spans="1:111" outlineLevel="1" x14ac:dyDescent="0.2">
      <c r="A218" s="30"/>
      <c r="B218" s="37" t="s">
        <v>94</v>
      </c>
      <c r="C218" s="38">
        <v>20.301595381205971</v>
      </c>
      <c r="D218" s="72">
        <v>0</v>
      </c>
      <c r="E218" s="68"/>
      <c r="F218" s="72">
        <v>20.301595381205971</v>
      </c>
      <c r="G218" s="68"/>
      <c r="H218" s="88">
        <v>26.251788268955654</v>
      </c>
      <c r="I218" s="84"/>
      <c r="J218" s="88">
        <v>19.185526601837161</v>
      </c>
      <c r="K218" s="84"/>
      <c r="L218" s="136"/>
      <c r="M218" s="132"/>
      <c r="N218" s="136"/>
      <c r="O218" s="132"/>
      <c r="P218" s="104">
        <v>24.695117031969406</v>
      </c>
      <c r="Q218" s="100" t="s">
        <v>182</v>
      </c>
      <c r="R218" s="104">
        <v>17.591673845578999</v>
      </c>
      <c r="S218" s="100"/>
      <c r="T218" s="104">
        <v>16.057893140272473</v>
      </c>
      <c r="U218" s="100"/>
      <c r="V218" s="120">
        <v>25.171241700591541</v>
      </c>
      <c r="W218" s="116" t="s">
        <v>185</v>
      </c>
      <c r="X218" s="120">
        <v>17.48012838156361</v>
      </c>
      <c r="Y218" s="116"/>
      <c r="Z218" s="120">
        <v>13.858524757622135</v>
      </c>
      <c r="AA218" s="116"/>
      <c r="AB218" s="156">
        <v>23.304454307714451</v>
      </c>
      <c r="AC218" s="152" t="s">
        <v>173</v>
      </c>
      <c r="AD218" s="156">
        <v>20.181138689594356</v>
      </c>
      <c r="AE218" s="152"/>
      <c r="AF218" s="156">
        <v>19.768750766888893</v>
      </c>
      <c r="AG218" s="152"/>
      <c r="AH218" s="156">
        <v>9.3652672951676372</v>
      </c>
      <c r="AI218" s="152"/>
      <c r="AJ218" s="173">
        <v>19.627110876378879</v>
      </c>
      <c r="AK218" s="169"/>
      <c r="AL218" s="173">
        <v>20.787046913074409</v>
      </c>
      <c r="AM218" s="169"/>
      <c r="AN218" s="38"/>
      <c r="AO218" s="55"/>
      <c r="AP218" s="38"/>
      <c r="AQ218" s="55"/>
      <c r="AR218" s="38"/>
      <c r="AS218" s="55"/>
      <c r="AT218" s="38"/>
      <c r="AU218" s="55"/>
      <c r="AV218" s="38"/>
      <c r="AW218" s="55"/>
      <c r="AX218" s="38"/>
      <c r="AY218" s="55"/>
      <c r="AZ218" s="38"/>
      <c r="BA218" s="55"/>
      <c r="BB218" s="38"/>
      <c r="BC218" s="55"/>
      <c r="BD218" s="72">
        <v>19.516160381473981</v>
      </c>
      <c r="BE218" s="68"/>
      <c r="BF218" s="72">
        <v>21.0286373935383</v>
      </c>
      <c r="BG218" s="68"/>
      <c r="BH218" s="72">
        <v>22.850221830659045</v>
      </c>
      <c r="BI218" s="68"/>
      <c r="BJ218" s="72">
        <v>16.410501694077666</v>
      </c>
      <c r="BK218" s="68"/>
      <c r="BL218" s="88">
        <v>21.14952764955552</v>
      </c>
      <c r="BM218" s="84"/>
      <c r="BN218" s="88">
        <v>19.342248941782714</v>
      </c>
      <c r="BO218" s="84"/>
      <c r="BP218" s="104">
        <v>19.762399078761163</v>
      </c>
      <c r="BQ218" s="100"/>
      <c r="BR218" s="104">
        <v>20.739630845335299</v>
      </c>
      <c r="BS218" s="100"/>
      <c r="BT218" s="120">
        <v>23.718392748790478</v>
      </c>
      <c r="BU218" s="116"/>
      <c r="BV218" s="120">
        <v>18.646093976033853</v>
      </c>
      <c r="BW218" s="116"/>
      <c r="BX218" s="38"/>
      <c r="BY218" s="55"/>
      <c r="BZ218" s="38"/>
      <c r="CA218" s="55"/>
      <c r="CB218" s="38"/>
      <c r="CC218" s="55"/>
      <c r="CD218" s="38"/>
      <c r="CE218" s="55"/>
      <c r="CF218" s="38"/>
      <c r="CG218" s="55"/>
      <c r="CH218" s="38"/>
      <c r="CI218" s="55"/>
      <c r="CJ218" s="38"/>
      <c r="CK218" s="55"/>
      <c r="CL218" s="156">
        <v>19.075328236824731</v>
      </c>
      <c r="CM218" s="152"/>
      <c r="CN218" s="156">
        <v>26.209649831776403</v>
      </c>
      <c r="CO218" s="152"/>
      <c r="CP218" s="156">
        <v>16.276103163498167</v>
      </c>
      <c r="CQ218" s="152"/>
      <c r="CR218" s="173">
        <v>24.695117031969406</v>
      </c>
      <c r="CS218" s="169" t="s">
        <v>204</v>
      </c>
      <c r="CT218" s="173">
        <v>16.057893140272473</v>
      </c>
      <c r="CU218" s="169"/>
      <c r="CV218" s="173">
        <v>17.591673845578999</v>
      </c>
      <c r="CW218" s="169"/>
      <c r="CX218" s="38"/>
      <c r="CY218" s="55"/>
      <c r="CZ218" s="38"/>
      <c r="DA218" s="55"/>
      <c r="DB218" s="72">
        <v>23.038582167571064</v>
      </c>
      <c r="DC218" s="68"/>
      <c r="DD218" s="72">
        <v>20.408979999554628</v>
      </c>
      <c r="DE218" s="68"/>
      <c r="DF218" s="72">
        <v>17.609863294764093</v>
      </c>
      <c r="DG218" s="68"/>
    </row>
    <row r="219" spans="1:111" outlineLevel="1" x14ac:dyDescent="0.2">
      <c r="A219" s="30"/>
      <c r="B219" s="29"/>
      <c r="E219" s="66"/>
      <c r="G219" s="66"/>
      <c r="I219" s="82"/>
      <c r="K219" s="82"/>
      <c r="M219" s="130"/>
      <c r="O219" s="130"/>
      <c r="Q219" s="98"/>
      <c r="S219" s="98"/>
      <c r="U219" s="98"/>
      <c r="W219" s="114"/>
      <c r="Y219" s="114"/>
      <c r="AA219" s="114"/>
      <c r="AC219" s="150"/>
      <c r="AE219" s="150"/>
      <c r="AG219" s="150"/>
      <c r="AI219" s="150"/>
      <c r="AK219" s="167"/>
      <c r="AM219" s="167"/>
      <c r="AO219" s="54"/>
      <c r="AQ219" s="54"/>
      <c r="AS219" s="54"/>
      <c r="AU219" s="54"/>
      <c r="AW219" s="54"/>
      <c r="AY219" s="54"/>
      <c r="BA219" s="54"/>
      <c r="BC219" s="54"/>
      <c r="BE219" s="66"/>
      <c r="BG219" s="66"/>
      <c r="BI219" s="66"/>
      <c r="BK219" s="66"/>
      <c r="BM219" s="82"/>
      <c r="BO219" s="82"/>
      <c r="BQ219" s="98"/>
      <c r="BS219" s="98"/>
      <c r="BU219" s="114"/>
      <c r="BW219" s="114"/>
      <c r="BY219" s="54"/>
      <c r="CA219" s="54"/>
      <c r="CC219" s="54"/>
      <c r="CE219" s="54"/>
      <c r="CG219" s="54"/>
      <c r="CI219" s="54"/>
      <c r="CK219" s="54"/>
      <c r="CM219" s="150"/>
      <c r="CO219" s="150"/>
      <c r="CQ219" s="150"/>
      <c r="CS219" s="167"/>
      <c r="CU219" s="167"/>
      <c r="CW219" s="167"/>
      <c r="CY219" s="54"/>
      <c r="DA219" s="54"/>
      <c r="DC219" s="66"/>
      <c r="DE219" s="66"/>
      <c r="DG219" s="66"/>
    </row>
    <row r="220" spans="1:111" outlineLevel="1" x14ac:dyDescent="0.2">
      <c r="A220" s="30"/>
      <c r="B220" s="32" t="s">
        <v>95</v>
      </c>
      <c r="C220" s="38">
        <v>46.931833115983785</v>
      </c>
      <c r="D220" s="72">
        <v>0</v>
      </c>
      <c r="E220" s="68"/>
      <c r="F220" s="72">
        <v>46.931833115983785</v>
      </c>
      <c r="G220" s="68"/>
      <c r="H220" s="88">
        <v>19.974380398323397</v>
      </c>
      <c r="I220" s="84"/>
      <c r="J220" s="88">
        <v>51.988202197973351</v>
      </c>
      <c r="K220" s="84" t="s">
        <v>176</v>
      </c>
      <c r="L220" s="136"/>
      <c r="M220" s="132"/>
      <c r="N220" s="136"/>
      <c r="O220" s="132"/>
      <c r="P220" s="104">
        <v>35.881847112901376</v>
      </c>
      <c r="Q220" s="100"/>
      <c r="R220" s="104">
        <v>51.197909639116936</v>
      </c>
      <c r="S220" s="100" t="s">
        <v>180</v>
      </c>
      <c r="T220" s="104">
        <v>50.93864057485456</v>
      </c>
      <c r="U220" s="100" t="s">
        <v>180</v>
      </c>
      <c r="V220" s="120">
        <v>44.895006334353475</v>
      </c>
      <c r="W220" s="116"/>
      <c r="X220" s="120">
        <v>53.914312023793038</v>
      </c>
      <c r="Y220" s="116"/>
      <c r="Z220" s="120">
        <v>53.781323207359335</v>
      </c>
      <c r="AA220" s="116"/>
      <c r="AB220" s="156">
        <v>45.18918497417831</v>
      </c>
      <c r="AC220" s="152"/>
      <c r="AD220" s="156">
        <v>45.928552680564877</v>
      </c>
      <c r="AE220" s="152"/>
      <c r="AF220" s="156">
        <v>49.836574865249844</v>
      </c>
      <c r="AG220" s="152"/>
      <c r="AH220" s="156">
        <v>55.359887954946451</v>
      </c>
      <c r="AI220" s="152"/>
      <c r="AJ220" s="173">
        <v>44.63708300664134</v>
      </c>
      <c r="AK220" s="169"/>
      <c r="AL220" s="173">
        <v>48.583449940185147</v>
      </c>
      <c r="AM220" s="169"/>
      <c r="AN220" s="38"/>
      <c r="AO220" s="55"/>
      <c r="AP220" s="38"/>
      <c r="AQ220" s="55"/>
      <c r="AR220" s="38"/>
      <c r="AS220" s="55"/>
      <c r="AT220" s="38"/>
      <c r="AU220" s="55"/>
      <c r="AV220" s="38"/>
      <c r="AW220" s="55"/>
      <c r="AX220" s="38"/>
      <c r="AY220" s="55"/>
      <c r="AZ220" s="38"/>
      <c r="BA220" s="55"/>
      <c r="BB220" s="38"/>
      <c r="BC220" s="55"/>
      <c r="BD220" s="72">
        <v>48.808887237984997</v>
      </c>
      <c r="BE220" s="68"/>
      <c r="BF220" s="72">
        <v>45.394399423872947</v>
      </c>
      <c r="BG220" s="68"/>
      <c r="BH220" s="72">
        <v>46.352127781932786</v>
      </c>
      <c r="BI220" s="68"/>
      <c r="BJ220" s="72">
        <v>49.301559628151857</v>
      </c>
      <c r="BK220" s="68"/>
      <c r="BL220" s="88">
        <v>44.308104148030566</v>
      </c>
      <c r="BM220" s="84"/>
      <c r="BN220" s="88">
        <v>51.744310165020551</v>
      </c>
      <c r="BO220" s="84"/>
      <c r="BP220" s="104">
        <v>45.738209486676823</v>
      </c>
      <c r="BQ220" s="100"/>
      <c r="BR220" s="104">
        <v>47.833422675819882</v>
      </c>
      <c r="BS220" s="100"/>
      <c r="BT220" s="120">
        <v>44.77915420454525</v>
      </c>
      <c r="BU220" s="116"/>
      <c r="BV220" s="120">
        <v>47.910254922470884</v>
      </c>
      <c r="BW220" s="116"/>
      <c r="BX220" s="38"/>
      <c r="BY220" s="55"/>
      <c r="BZ220" s="38"/>
      <c r="CA220" s="55"/>
      <c r="CB220" s="38"/>
      <c r="CC220" s="55"/>
      <c r="CD220" s="38"/>
      <c r="CE220" s="55"/>
      <c r="CF220" s="38"/>
      <c r="CG220" s="55"/>
      <c r="CH220" s="38"/>
      <c r="CI220" s="55"/>
      <c r="CJ220" s="38"/>
      <c r="CK220" s="55"/>
      <c r="CL220" s="156">
        <v>50.202461103848577</v>
      </c>
      <c r="CM220" s="152" t="s">
        <v>202</v>
      </c>
      <c r="CN220" s="156">
        <v>39.45702310020112</v>
      </c>
      <c r="CO220" s="152"/>
      <c r="CP220" s="156">
        <v>43.548043945566825</v>
      </c>
      <c r="CQ220" s="152"/>
      <c r="CR220" s="173">
        <v>35.881847112901376</v>
      </c>
      <c r="CS220" s="169"/>
      <c r="CT220" s="173">
        <v>50.93864057485456</v>
      </c>
      <c r="CU220" s="169" t="s">
        <v>48</v>
      </c>
      <c r="CV220" s="173">
        <v>51.197909639116936</v>
      </c>
      <c r="CW220" s="169" t="s">
        <v>48</v>
      </c>
      <c r="CX220" s="38"/>
      <c r="CY220" s="55"/>
      <c r="CZ220" s="38"/>
      <c r="DA220" s="55"/>
      <c r="DB220" s="72">
        <v>40.190421665753973</v>
      </c>
      <c r="DC220" s="68"/>
      <c r="DD220" s="72">
        <v>48.445297016316573</v>
      </c>
      <c r="DE220" s="68"/>
      <c r="DF220" s="72">
        <v>50.983727851592988</v>
      </c>
      <c r="DG220" s="68" t="s">
        <v>206</v>
      </c>
    </row>
    <row r="221" spans="1:111" outlineLevel="1" x14ac:dyDescent="0.2">
      <c r="A221" s="30"/>
      <c r="B221" s="29"/>
      <c r="E221" s="66"/>
      <c r="G221" s="66"/>
      <c r="I221" s="82"/>
      <c r="K221" s="82"/>
      <c r="M221" s="130"/>
      <c r="O221" s="130"/>
      <c r="Q221" s="98"/>
      <c r="S221" s="98"/>
      <c r="U221" s="98"/>
      <c r="W221" s="114"/>
      <c r="Y221" s="114"/>
      <c r="AA221" s="114"/>
      <c r="AC221" s="150"/>
      <c r="AE221" s="150"/>
      <c r="AG221" s="150"/>
      <c r="AI221" s="150"/>
      <c r="AK221" s="167"/>
      <c r="AM221" s="167"/>
      <c r="AO221" s="54"/>
      <c r="AQ221" s="54"/>
      <c r="AS221" s="54"/>
      <c r="AU221" s="54"/>
      <c r="AW221" s="54"/>
      <c r="AY221" s="54"/>
      <c r="BA221" s="54"/>
      <c r="BC221" s="54"/>
      <c r="BE221" s="66"/>
      <c r="BG221" s="66"/>
      <c r="BI221" s="66"/>
      <c r="BK221" s="66"/>
      <c r="BM221" s="82"/>
      <c r="BO221" s="82"/>
      <c r="BQ221" s="98"/>
      <c r="BS221" s="98"/>
      <c r="BU221" s="114"/>
      <c r="BW221" s="114"/>
      <c r="BY221" s="54"/>
      <c r="CA221" s="54"/>
      <c r="CC221" s="54"/>
      <c r="CE221" s="54"/>
      <c r="CG221" s="54"/>
      <c r="CI221" s="54"/>
      <c r="CK221" s="54"/>
      <c r="CM221" s="150"/>
      <c r="CO221" s="150"/>
      <c r="CQ221" s="150"/>
      <c r="CS221" s="167"/>
      <c r="CU221" s="167"/>
      <c r="CW221" s="167"/>
      <c r="CY221" s="54"/>
      <c r="DA221" s="54"/>
      <c r="DC221" s="66"/>
      <c r="DE221" s="66"/>
      <c r="DG221" s="66"/>
    </row>
    <row r="222" spans="1:111" outlineLevel="1" x14ac:dyDescent="0.2">
      <c r="A222" s="30"/>
      <c r="B222" s="29" t="s">
        <v>96</v>
      </c>
      <c r="C222" s="36">
        <v>19.029724839023356</v>
      </c>
      <c r="D222" s="71">
        <v>0</v>
      </c>
      <c r="E222" s="68"/>
      <c r="F222" s="71">
        <v>19.029724839023356</v>
      </c>
      <c r="G222" s="68"/>
      <c r="H222" s="87">
        <v>8.5407033367758061</v>
      </c>
      <c r="I222" s="84"/>
      <c r="J222" s="87">
        <v>20.997134912214101</v>
      </c>
      <c r="K222" s="84" t="s">
        <v>176</v>
      </c>
      <c r="L222" s="135"/>
      <c r="M222" s="132"/>
      <c r="N222" s="135"/>
      <c r="O222" s="132"/>
      <c r="P222" s="103">
        <v>13.523952615838443</v>
      </c>
      <c r="Q222" s="100"/>
      <c r="R222" s="103">
        <v>19.407973263308666</v>
      </c>
      <c r="S222" s="100"/>
      <c r="T222" s="103">
        <v>26.263725541341341</v>
      </c>
      <c r="U222" s="100" t="s">
        <v>180</v>
      </c>
      <c r="V222" s="119">
        <v>16.245123752453601</v>
      </c>
      <c r="W222" s="116"/>
      <c r="X222" s="119">
        <v>21.540709546521079</v>
      </c>
      <c r="Y222" s="116"/>
      <c r="Z222" s="119">
        <v>27.111007478672981</v>
      </c>
      <c r="AA222" s="116" t="s">
        <v>183</v>
      </c>
      <c r="AB222" s="155">
        <v>15.448826652200681</v>
      </c>
      <c r="AC222" s="152"/>
      <c r="AD222" s="155">
        <v>20.547556318933243</v>
      </c>
      <c r="AE222" s="152"/>
      <c r="AF222" s="155">
        <v>18.846439057006741</v>
      </c>
      <c r="AG222" s="152"/>
      <c r="AH222" s="155">
        <v>23.481934627767743</v>
      </c>
      <c r="AI222" s="152"/>
      <c r="AJ222" s="172">
        <v>19.991591421421898</v>
      </c>
      <c r="AK222" s="169"/>
      <c r="AL222" s="172">
        <v>18.337433759633573</v>
      </c>
      <c r="AM222" s="169"/>
      <c r="AN222" s="36"/>
      <c r="AO222" s="55"/>
      <c r="AP222" s="36"/>
      <c r="AQ222" s="55"/>
      <c r="AR222" s="36"/>
      <c r="AS222" s="55"/>
      <c r="AT222" s="36"/>
      <c r="AU222" s="55"/>
      <c r="AV222" s="36"/>
      <c r="AW222" s="55"/>
      <c r="AX222" s="36"/>
      <c r="AY222" s="55"/>
      <c r="AZ222" s="36"/>
      <c r="BA222" s="55"/>
      <c r="BB222" s="36"/>
      <c r="BC222" s="55"/>
      <c r="BD222" s="71">
        <v>18.867671894369028</v>
      </c>
      <c r="BE222" s="68"/>
      <c r="BF222" s="71">
        <v>19.342279387628398</v>
      </c>
      <c r="BG222" s="68"/>
      <c r="BH222" s="71">
        <v>19.098980437215705</v>
      </c>
      <c r="BI222" s="68"/>
      <c r="BJ222" s="71">
        <v>18.430005155738503</v>
      </c>
      <c r="BK222" s="68"/>
      <c r="BL222" s="87">
        <v>20.812418874906101</v>
      </c>
      <c r="BM222" s="84"/>
      <c r="BN222" s="87">
        <v>15.162628059628243</v>
      </c>
      <c r="BO222" s="84"/>
      <c r="BP222" s="103">
        <v>22.834834761463568</v>
      </c>
      <c r="BQ222" s="100" t="s">
        <v>198</v>
      </c>
      <c r="BR222" s="103">
        <v>16.210219066495558</v>
      </c>
      <c r="BS222" s="100"/>
      <c r="BT222" s="119">
        <v>16.971306245111357</v>
      </c>
      <c r="BU222" s="116"/>
      <c r="BV222" s="119">
        <v>20.143481322748126</v>
      </c>
      <c r="BW222" s="116"/>
      <c r="BX222" s="36"/>
      <c r="BY222" s="55"/>
      <c r="BZ222" s="36"/>
      <c r="CA222" s="55"/>
      <c r="CB222" s="36"/>
      <c r="CC222" s="55"/>
      <c r="CD222" s="36"/>
      <c r="CE222" s="55"/>
      <c r="CF222" s="36"/>
      <c r="CG222" s="55"/>
      <c r="CH222" s="36"/>
      <c r="CI222" s="55"/>
      <c r="CJ222" s="36"/>
      <c r="CK222" s="55"/>
      <c r="CL222" s="155">
        <v>19.137592480428175</v>
      </c>
      <c r="CM222" s="152"/>
      <c r="CN222" s="155">
        <v>17.756517489615248</v>
      </c>
      <c r="CO222" s="152"/>
      <c r="CP222" s="155">
        <v>19.789806358776975</v>
      </c>
      <c r="CQ222" s="152"/>
      <c r="CR222" s="172">
        <v>13.523952615838443</v>
      </c>
      <c r="CS222" s="169"/>
      <c r="CT222" s="172">
        <v>26.263725541341341</v>
      </c>
      <c r="CU222" s="169" t="s">
        <v>48</v>
      </c>
      <c r="CV222" s="172">
        <v>19.407973263308666</v>
      </c>
      <c r="CW222" s="169"/>
      <c r="CX222" s="36"/>
      <c r="CY222" s="55"/>
      <c r="CZ222" s="36"/>
      <c r="DA222" s="55"/>
      <c r="DB222" s="71">
        <v>17.932593219495196</v>
      </c>
      <c r="DC222" s="68"/>
      <c r="DD222" s="71">
        <v>18.142856688394524</v>
      </c>
      <c r="DE222" s="68"/>
      <c r="DF222" s="71">
        <v>21.332262546381806</v>
      </c>
      <c r="DG222" s="68"/>
    </row>
    <row r="223" spans="1:111" outlineLevel="1" x14ac:dyDescent="0.2">
      <c r="A223" s="30"/>
      <c r="B223" s="37" t="s">
        <v>97</v>
      </c>
      <c r="C223" s="38">
        <v>5.9880278786656733</v>
      </c>
      <c r="D223" s="72">
        <v>0</v>
      </c>
      <c r="E223" s="68"/>
      <c r="F223" s="72">
        <v>5.9880278786656733</v>
      </c>
      <c r="G223" s="68"/>
      <c r="H223" s="88">
        <v>4.5078216765010648</v>
      </c>
      <c r="I223" s="84"/>
      <c r="J223" s="88">
        <v>6.2656679418416381</v>
      </c>
      <c r="K223" s="84"/>
      <c r="L223" s="136"/>
      <c r="M223" s="132"/>
      <c r="N223" s="136"/>
      <c r="O223" s="132"/>
      <c r="P223" s="104">
        <v>6.0015129066885846</v>
      </c>
      <c r="Q223" s="100"/>
      <c r="R223" s="104">
        <v>7.8247895627263944</v>
      </c>
      <c r="S223" s="100"/>
      <c r="T223" s="104">
        <v>5.7149743892943192</v>
      </c>
      <c r="U223" s="100"/>
      <c r="V223" s="120">
        <v>7.2038296570882858</v>
      </c>
      <c r="W223" s="116"/>
      <c r="X223" s="120">
        <v>8.2720980541240401</v>
      </c>
      <c r="Y223" s="116"/>
      <c r="Z223" s="120">
        <v>5.0189836046674063</v>
      </c>
      <c r="AA223" s="116"/>
      <c r="AB223" s="156">
        <v>5.6184377793298443</v>
      </c>
      <c r="AC223" s="152"/>
      <c r="AD223" s="156">
        <v>6.2456277530741637</v>
      </c>
      <c r="AE223" s="152"/>
      <c r="AF223" s="156">
        <v>7.1911505022788829</v>
      </c>
      <c r="AG223" s="152"/>
      <c r="AH223" s="156">
        <v>2.7840924624045527</v>
      </c>
      <c r="AI223" s="152"/>
      <c r="AJ223" s="173">
        <v>5.871120253771946</v>
      </c>
      <c r="AK223" s="169"/>
      <c r="AL223" s="173">
        <v>6.0721706353718625</v>
      </c>
      <c r="AM223" s="169"/>
      <c r="AN223" s="38"/>
      <c r="AO223" s="55"/>
      <c r="AP223" s="38"/>
      <c r="AQ223" s="55"/>
      <c r="AR223" s="38"/>
      <c r="AS223" s="55"/>
      <c r="AT223" s="38"/>
      <c r="AU223" s="55"/>
      <c r="AV223" s="38"/>
      <c r="AW223" s="55"/>
      <c r="AX223" s="38"/>
      <c r="AY223" s="55"/>
      <c r="AZ223" s="38"/>
      <c r="BA223" s="55"/>
      <c r="BB223" s="38"/>
      <c r="BC223" s="55"/>
      <c r="BD223" s="72">
        <v>6.2767845959148767</v>
      </c>
      <c r="BE223" s="68"/>
      <c r="BF223" s="72">
        <v>3.4534964360303353</v>
      </c>
      <c r="BG223" s="68"/>
      <c r="BH223" s="72">
        <v>8.6005722816475778</v>
      </c>
      <c r="BI223" s="68" t="s">
        <v>192</v>
      </c>
      <c r="BJ223" s="72">
        <v>7.9180962280285829</v>
      </c>
      <c r="BK223" s="68" t="s">
        <v>192</v>
      </c>
      <c r="BL223" s="88">
        <v>6.6048545433149384</v>
      </c>
      <c r="BM223" s="84"/>
      <c r="BN223" s="88">
        <v>4.8449379383677895</v>
      </c>
      <c r="BO223" s="84"/>
      <c r="BP223" s="104">
        <v>5.9464205228969131</v>
      </c>
      <c r="BQ223" s="100"/>
      <c r="BR223" s="104">
        <v>5.8946338523847475</v>
      </c>
      <c r="BS223" s="100"/>
      <c r="BT223" s="120">
        <v>5.247783666521685</v>
      </c>
      <c r="BU223" s="116"/>
      <c r="BV223" s="120">
        <v>6.3795794955599998</v>
      </c>
      <c r="BW223" s="116"/>
      <c r="BX223" s="38"/>
      <c r="BY223" s="55"/>
      <c r="BZ223" s="38"/>
      <c r="CA223" s="55"/>
      <c r="CB223" s="38"/>
      <c r="CC223" s="55"/>
      <c r="CD223" s="38"/>
      <c r="CE223" s="55"/>
      <c r="CF223" s="38"/>
      <c r="CG223" s="55"/>
      <c r="CH223" s="38"/>
      <c r="CI223" s="55"/>
      <c r="CJ223" s="38"/>
      <c r="CK223" s="55"/>
      <c r="CL223" s="156">
        <v>5.4447206547353177</v>
      </c>
      <c r="CM223" s="152"/>
      <c r="CN223" s="156">
        <v>9.1644456139691375</v>
      </c>
      <c r="CO223" s="152"/>
      <c r="CP223" s="156">
        <v>3.3623037434948997</v>
      </c>
      <c r="CQ223" s="152"/>
      <c r="CR223" s="173">
        <v>6.0015129066885846</v>
      </c>
      <c r="CS223" s="169"/>
      <c r="CT223" s="173">
        <v>5.7149743892943192</v>
      </c>
      <c r="CU223" s="169"/>
      <c r="CV223" s="173">
        <v>7.8247895627263944</v>
      </c>
      <c r="CW223" s="169"/>
      <c r="CX223" s="38"/>
      <c r="CY223" s="55"/>
      <c r="CZ223" s="38"/>
      <c r="DA223" s="55"/>
      <c r="DB223" s="72">
        <v>6.2295514511873353</v>
      </c>
      <c r="DC223" s="68"/>
      <c r="DD223" s="72">
        <v>7.5941248890543136</v>
      </c>
      <c r="DE223" s="68"/>
      <c r="DF223" s="72">
        <v>3.4353902160455676</v>
      </c>
      <c r="DG223" s="68"/>
    </row>
    <row r="224" spans="1:111" outlineLevel="1" x14ac:dyDescent="0.2">
      <c r="A224" s="30"/>
      <c r="B224" s="37" t="s">
        <v>98</v>
      </c>
      <c r="C224" s="38">
        <v>13.041696960357683</v>
      </c>
      <c r="D224" s="72">
        <v>0</v>
      </c>
      <c r="E224" s="68"/>
      <c r="F224" s="72">
        <v>13.041696960357683</v>
      </c>
      <c r="G224" s="68"/>
      <c r="H224" s="88">
        <v>4.0328816602747404</v>
      </c>
      <c r="I224" s="84"/>
      <c r="J224" s="88">
        <v>14.731466970372463</v>
      </c>
      <c r="K224" s="84" t="s">
        <v>176</v>
      </c>
      <c r="L224" s="136"/>
      <c r="M224" s="132"/>
      <c r="N224" s="136"/>
      <c r="O224" s="132"/>
      <c r="P224" s="104">
        <v>7.5224397091498583</v>
      </c>
      <c r="Q224" s="100"/>
      <c r="R224" s="104">
        <v>11.58318370058227</v>
      </c>
      <c r="S224" s="100"/>
      <c r="T224" s="104">
        <v>20.548751152047021</v>
      </c>
      <c r="U224" s="100" t="s">
        <v>254</v>
      </c>
      <c r="V224" s="120">
        <v>9.0412940953653145</v>
      </c>
      <c r="W224" s="116"/>
      <c r="X224" s="120">
        <v>13.268611492397037</v>
      </c>
      <c r="Y224" s="116"/>
      <c r="Z224" s="120">
        <v>22.092023874005573</v>
      </c>
      <c r="AA224" s="116" t="s">
        <v>257</v>
      </c>
      <c r="AB224" s="156">
        <v>9.8303888728708362</v>
      </c>
      <c r="AC224" s="152"/>
      <c r="AD224" s="156">
        <v>14.301928565859081</v>
      </c>
      <c r="AE224" s="152"/>
      <c r="AF224" s="156">
        <v>11.655288554727859</v>
      </c>
      <c r="AG224" s="152"/>
      <c r="AH224" s="156">
        <v>20.697842165363191</v>
      </c>
      <c r="AI224" s="152" t="s">
        <v>170</v>
      </c>
      <c r="AJ224" s="173">
        <v>14.120471167649953</v>
      </c>
      <c r="AK224" s="169"/>
      <c r="AL224" s="173">
        <v>12.265263124261711</v>
      </c>
      <c r="AM224" s="169"/>
      <c r="AN224" s="38"/>
      <c r="AO224" s="55"/>
      <c r="AP224" s="38"/>
      <c r="AQ224" s="55"/>
      <c r="AR224" s="38"/>
      <c r="AS224" s="55"/>
      <c r="AT224" s="38"/>
      <c r="AU224" s="55"/>
      <c r="AV224" s="38"/>
      <c r="AW224" s="55"/>
      <c r="AX224" s="38"/>
      <c r="AY224" s="55"/>
      <c r="AZ224" s="38"/>
      <c r="BA224" s="55"/>
      <c r="BB224" s="38"/>
      <c r="BC224" s="55"/>
      <c r="BD224" s="72">
        <v>12.590887298454149</v>
      </c>
      <c r="BE224" s="68"/>
      <c r="BF224" s="72">
        <v>15.888782951598062</v>
      </c>
      <c r="BG224" s="68"/>
      <c r="BH224" s="72">
        <v>10.498408155568127</v>
      </c>
      <c r="BI224" s="68"/>
      <c r="BJ224" s="72">
        <v>10.511908927709921</v>
      </c>
      <c r="BK224" s="68"/>
      <c r="BL224" s="88">
        <v>14.207564331591163</v>
      </c>
      <c r="BM224" s="84"/>
      <c r="BN224" s="88">
        <v>10.317690121260455</v>
      </c>
      <c r="BO224" s="84"/>
      <c r="BP224" s="104">
        <v>16.888414238566654</v>
      </c>
      <c r="BQ224" s="100" t="s">
        <v>198</v>
      </c>
      <c r="BR224" s="104">
        <v>10.31558521411081</v>
      </c>
      <c r="BS224" s="100"/>
      <c r="BT224" s="120">
        <v>11.723522578589671</v>
      </c>
      <c r="BU224" s="116"/>
      <c r="BV224" s="120">
        <v>13.763901827188127</v>
      </c>
      <c r="BW224" s="116"/>
      <c r="BX224" s="38"/>
      <c r="BY224" s="55"/>
      <c r="BZ224" s="38"/>
      <c r="CA224" s="55"/>
      <c r="CB224" s="38"/>
      <c r="CC224" s="55"/>
      <c r="CD224" s="38"/>
      <c r="CE224" s="55"/>
      <c r="CF224" s="38"/>
      <c r="CG224" s="55"/>
      <c r="CH224" s="38"/>
      <c r="CI224" s="55"/>
      <c r="CJ224" s="38"/>
      <c r="CK224" s="55"/>
      <c r="CL224" s="156">
        <v>13.692871825692858</v>
      </c>
      <c r="CM224" s="152"/>
      <c r="CN224" s="156">
        <v>8.592071875646111</v>
      </c>
      <c r="CO224" s="152"/>
      <c r="CP224" s="156">
        <v>16.427502615282076</v>
      </c>
      <c r="CQ224" s="152"/>
      <c r="CR224" s="173">
        <v>7.5224397091498583</v>
      </c>
      <c r="CS224" s="169"/>
      <c r="CT224" s="173">
        <v>20.548751152047021</v>
      </c>
      <c r="CU224" s="169" t="s">
        <v>255</v>
      </c>
      <c r="CV224" s="173">
        <v>11.58318370058227</v>
      </c>
      <c r="CW224" s="169"/>
      <c r="CX224" s="38"/>
      <c r="CY224" s="55"/>
      <c r="CZ224" s="38"/>
      <c r="DA224" s="55"/>
      <c r="DB224" s="72">
        <v>11.703041768307861</v>
      </c>
      <c r="DC224" s="68"/>
      <c r="DD224" s="72">
        <v>10.548731799340212</v>
      </c>
      <c r="DE224" s="68"/>
      <c r="DF224" s="72">
        <v>17.896872330336237</v>
      </c>
      <c r="DG224" s="68" t="s">
        <v>207</v>
      </c>
    </row>
    <row r="225" spans="1:111" outlineLevel="1" x14ac:dyDescent="0.2">
      <c r="A225" s="30"/>
      <c r="B225" s="30"/>
      <c r="E225" s="66"/>
      <c r="G225" s="66"/>
      <c r="I225" s="82"/>
      <c r="K225" s="82"/>
      <c r="M225" s="130"/>
      <c r="O225" s="130"/>
      <c r="Q225" s="98"/>
      <c r="S225" s="98"/>
      <c r="U225" s="98"/>
      <c r="W225" s="114"/>
      <c r="Y225" s="114"/>
      <c r="AA225" s="114"/>
      <c r="AC225" s="150"/>
      <c r="AE225" s="150"/>
      <c r="AG225" s="150"/>
      <c r="AI225" s="150"/>
      <c r="AK225" s="167"/>
      <c r="AM225" s="167"/>
      <c r="AO225" s="54"/>
      <c r="AQ225" s="54"/>
      <c r="AS225" s="54"/>
      <c r="AU225" s="54"/>
      <c r="AW225" s="54"/>
      <c r="AY225" s="54"/>
      <c r="BA225" s="54"/>
      <c r="BC225" s="54"/>
      <c r="BE225" s="66"/>
      <c r="BG225" s="66"/>
      <c r="BI225" s="66"/>
      <c r="BK225" s="66"/>
      <c r="BM225" s="82"/>
      <c r="BO225" s="82"/>
      <c r="BQ225" s="98"/>
      <c r="BS225" s="98"/>
      <c r="BU225" s="114"/>
      <c r="BW225" s="114"/>
      <c r="BY225" s="54"/>
      <c r="CA225" s="54"/>
      <c r="CC225" s="54"/>
      <c r="CE225" s="54"/>
      <c r="CG225" s="54"/>
      <c r="CI225" s="54"/>
      <c r="CK225" s="54"/>
      <c r="CM225" s="150"/>
      <c r="CO225" s="150"/>
      <c r="CQ225" s="150"/>
      <c r="CS225" s="167"/>
      <c r="CU225" s="167"/>
      <c r="CW225" s="167"/>
      <c r="CY225" s="54"/>
      <c r="DA225" s="54"/>
      <c r="DC225" s="66"/>
      <c r="DE225" s="66"/>
      <c r="DG225" s="66"/>
    </row>
    <row r="226" spans="1:111" x14ac:dyDescent="0.2">
      <c r="A226" s="30"/>
      <c r="B226" s="30"/>
      <c r="E226" s="66"/>
      <c r="G226" s="66"/>
      <c r="I226" s="82"/>
      <c r="K226" s="82"/>
      <c r="M226" s="130"/>
      <c r="O226" s="130"/>
      <c r="Q226" s="98"/>
      <c r="S226" s="98"/>
      <c r="U226" s="98"/>
      <c r="W226" s="114"/>
      <c r="Y226" s="114"/>
      <c r="AA226" s="114"/>
      <c r="AC226" s="150"/>
      <c r="AE226" s="150"/>
      <c r="AG226" s="150"/>
      <c r="AI226" s="150"/>
      <c r="AK226" s="167"/>
      <c r="AM226" s="167"/>
      <c r="AO226" s="54"/>
      <c r="AQ226" s="54"/>
      <c r="AS226" s="54"/>
      <c r="AU226" s="54"/>
      <c r="AW226" s="54"/>
      <c r="AY226" s="54"/>
      <c r="BA226" s="54"/>
      <c r="BC226" s="54"/>
      <c r="BE226" s="66"/>
      <c r="BG226" s="66"/>
      <c r="BI226" s="66"/>
      <c r="BK226" s="66"/>
      <c r="BM226" s="82"/>
      <c r="BO226" s="82"/>
      <c r="BQ226" s="98"/>
      <c r="BS226" s="98"/>
      <c r="BU226" s="114"/>
      <c r="BW226" s="114"/>
      <c r="BY226" s="54"/>
      <c r="CA226" s="54"/>
      <c r="CC226" s="54"/>
      <c r="CE226" s="54"/>
      <c r="CG226" s="54"/>
      <c r="CI226" s="54"/>
      <c r="CK226" s="54"/>
      <c r="CM226" s="150"/>
      <c r="CO226" s="150"/>
      <c r="CQ226" s="150"/>
      <c r="CS226" s="167"/>
      <c r="CU226" s="167"/>
      <c r="CW226" s="167"/>
      <c r="CY226" s="54"/>
      <c r="DA226" s="54"/>
      <c r="DC226" s="66"/>
      <c r="DE226" s="66"/>
      <c r="DG226" s="66"/>
    </row>
    <row r="227" spans="1:111" x14ac:dyDescent="0.2">
      <c r="A227" s="28" t="s">
        <v>161</v>
      </c>
      <c r="B227" s="29" t="s">
        <v>162</v>
      </c>
      <c r="E227" s="66"/>
      <c r="G227" s="66"/>
      <c r="I227" s="82"/>
      <c r="K227" s="82"/>
      <c r="M227" s="130"/>
      <c r="O227" s="130"/>
      <c r="Q227" s="98"/>
      <c r="S227" s="98"/>
      <c r="U227" s="98"/>
      <c r="W227" s="114"/>
      <c r="Y227" s="114"/>
      <c r="AA227" s="114"/>
      <c r="AC227" s="150"/>
      <c r="AE227" s="150"/>
      <c r="AG227" s="150"/>
      <c r="AI227" s="150"/>
      <c r="AK227" s="167"/>
      <c r="AM227" s="167"/>
      <c r="AO227" s="54"/>
      <c r="AQ227" s="54"/>
      <c r="AS227" s="54"/>
      <c r="AU227" s="54"/>
      <c r="AW227" s="54"/>
      <c r="AY227" s="54"/>
      <c r="BA227" s="54"/>
      <c r="BC227" s="54"/>
      <c r="BE227" s="66"/>
      <c r="BG227" s="66"/>
      <c r="BI227" s="66"/>
      <c r="BK227" s="66"/>
      <c r="BM227" s="82"/>
      <c r="BO227" s="82"/>
      <c r="BQ227" s="98"/>
      <c r="BS227" s="98"/>
      <c r="BU227" s="114"/>
      <c r="BW227" s="114"/>
      <c r="BY227" s="54"/>
      <c r="CA227" s="54"/>
      <c r="CC227" s="54"/>
      <c r="CE227" s="54"/>
      <c r="CG227" s="54"/>
      <c r="CI227" s="54"/>
      <c r="CK227" s="54"/>
      <c r="CM227" s="150"/>
      <c r="CO227" s="150"/>
      <c r="CQ227" s="150"/>
      <c r="CS227" s="167"/>
      <c r="CU227" s="167"/>
      <c r="CW227" s="167"/>
      <c r="CY227" s="54"/>
      <c r="DA227" s="54"/>
      <c r="DC227" s="66"/>
      <c r="DE227" s="66"/>
      <c r="DG227" s="66"/>
    </row>
    <row r="228" spans="1:111" outlineLevel="1" x14ac:dyDescent="0.2">
      <c r="A228" s="30"/>
      <c r="B228" s="32" t="s">
        <v>55</v>
      </c>
      <c r="C228" s="31">
        <f>1883.05224610559+89.9477538944136</f>
        <v>1973.0000000000036</v>
      </c>
      <c r="D228" s="67">
        <f>1186.40754506923+54.5924549307656</f>
        <v>1240.9999999999957</v>
      </c>
      <c r="E228" s="68"/>
      <c r="F228" s="67">
        <f>697.229271339924+34.7707286600755</f>
        <v>731.99999999999955</v>
      </c>
      <c r="G228" s="68"/>
      <c r="H228" s="83">
        <f>1294.51472390475+61.4852760952508</f>
        <v>1356.0000000000009</v>
      </c>
      <c r="I228" s="84"/>
      <c r="J228" s="83">
        <f>588.872678023413+28.1273219765872</f>
        <v>617.00000000000011</v>
      </c>
      <c r="K228" s="84"/>
      <c r="L228" s="131"/>
      <c r="M228" s="132"/>
      <c r="N228" s="131"/>
      <c r="O228" s="132"/>
      <c r="P228" s="99">
        <f>197.775455801689+12.2245441983108</f>
        <v>209.9999999999998</v>
      </c>
      <c r="Q228" s="100"/>
      <c r="R228" s="99">
        <f>183.624369897672+9.37563010232844</f>
        <v>193.00000000000045</v>
      </c>
      <c r="S228" s="100"/>
      <c r="T228" s="99">
        <f>202.167219603481+6.83278039651879</f>
        <v>208.99999999999977</v>
      </c>
      <c r="U228" s="100"/>
      <c r="V228" s="115">
        <f>142.903095748811+7.09690425118887</f>
        <v>149.99999999999989</v>
      </c>
      <c r="W228" s="116"/>
      <c r="X228" s="115">
        <f>159.312800786456+8.68719921354355</f>
        <v>167.99999999999955</v>
      </c>
      <c r="Y228" s="116"/>
      <c r="Z228" s="115">
        <f>187.399553476067+6.60044652393256</f>
        <v>193.99999999999957</v>
      </c>
      <c r="AA228" s="116"/>
      <c r="AB228" s="151">
        <f>418.260207692397+16.7397923076035</f>
        <v>435.00000000000051</v>
      </c>
      <c r="AC228" s="152"/>
      <c r="AD228" s="151">
        <f>738.006659532827+36.9933404671731</f>
        <v>775.00000000000011</v>
      </c>
      <c r="AE228" s="152"/>
      <c r="AF228" s="151">
        <f>311.253904538341+10.7460954616589</f>
        <v>321.99999999999989</v>
      </c>
      <c r="AG228" s="152"/>
      <c r="AH228" s="151">
        <f>431.026863681208+9.97313631879211</f>
        <v>441.00000000000011</v>
      </c>
      <c r="AI228" s="152"/>
      <c r="AJ228" s="168">
        <f>923.333460709361+44.6665392906394</f>
        <v>968.00000000000045</v>
      </c>
      <c r="AK228" s="169"/>
      <c r="AL228" s="168">
        <f>959.799270076854+45.2007299231459</f>
        <v>1004.9999999999999</v>
      </c>
      <c r="AM228" s="169"/>
      <c r="AN228" s="31"/>
      <c r="AO228" s="55"/>
      <c r="AP228" s="31"/>
      <c r="AQ228" s="55"/>
      <c r="AR228" s="31"/>
      <c r="AS228" s="55"/>
      <c r="AT228" s="31"/>
      <c r="AU228" s="55"/>
      <c r="AV228" s="31"/>
      <c r="AW228" s="55"/>
      <c r="AX228" s="31"/>
      <c r="AY228" s="55"/>
      <c r="AZ228" s="31"/>
      <c r="BA228" s="55"/>
      <c r="BB228" s="31"/>
      <c r="BC228" s="55"/>
      <c r="BD228" s="67">
        <f>379.857824097321+11.1421759026792</f>
        <v>391.00000000000017</v>
      </c>
      <c r="BE228" s="68"/>
      <c r="BF228" s="67">
        <f>745.998424961336+22.0015750386635</f>
        <v>767.99999999999955</v>
      </c>
      <c r="BG228" s="68"/>
      <c r="BH228" s="67">
        <f>409.189427060892+14.8105729391077</f>
        <v>423.99999999999972</v>
      </c>
      <c r="BI228" s="68"/>
      <c r="BJ228" s="67">
        <f>363.70066322202+26.2993367779799</f>
        <v>389.99999999999989</v>
      </c>
      <c r="BK228" s="68"/>
      <c r="BL228" s="83">
        <f>896.282615300541+41.7173846994588</f>
        <v>937.99999999999977</v>
      </c>
      <c r="BM228" s="84"/>
      <c r="BN228" s="83">
        <f>918.786185024919+45.2138149750814</f>
        <v>964.00000000000034</v>
      </c>
      <c r="BO228" s="84"/>
      <c r="BP228" s="99">
        <f>566.54488221061+21.4551177893895</f>
        <v>587.99999999999955</v>
      </c>
      <c r="BQ228" s="100"/>
      <c r="BR228" s="99">
        <f>1309.85022189589+68.1497781041148</f>
        <v>1378.0000000000048</v>
      </c>
      <c r="BS228" s="100"/>
      <c r="BT228" s="115">
        <f>801.597409190903+42.4025908090973</f>
        <v>844.00000000000034</v>
      </c>
      <c r="BU228" s="116"/>
      <c r="BV228" s="115">
        <f>1073.89067127574+47.109328724262</f>
        <v>1121.000000000002</v>
      </c>
      <c r="BW228" s="116"/>
      <c r="BX228" s="31"/>
      <c r="BY228" s="55"/>
      <c r="BZ228" s="31"/>
      <c r="CA228" s="55"/>
      <c r="CB228" s="31"/>
      <c r="CC228" s="55"/>
      <c r="CD228" s="31"/>
      <c r="CE228" s="55"/>
      <c r="CF228" s="31"/>
      <c r="CG228" s="55"/>
      <c r="CH228" s="31"/>
      <c r="CI228" s="55"/>
      <c r="CJ228" s="31"/>
      <c r="CK228" s="55"/>
      <c r="CL228" s="151">
        <f>1355.82509014005+57.1749098599505</f>
        <v>1413.0000000000005</v>
      </c>
      <c r="CM228" s="152"/>
      <c r="CN228" s="151">
        <f>292.487931587065+18.5120684129348</f>
        <v>310.99999999999983</v>
      </c>
      <c r="CO228" s="152"/>
      <c r="CP228" s="151">
        <f>266.807630662101+20.192369337899</f>
        <v>287</v>
      </c>
      <c r="CQ228" s="152"/>
      <c r="CR228" s="168">
        <f>771.339198902703+38.6608010972968</f>
        <v>809.99999999999977</v>
      </c>
      <c r="CS228" s="169"/>
      <c r="CT228" s="168">
        <f>498.353180029268+21.6468199707316</f>
        <v>519.99999999999955</v>
      </c>
      <c r="CU228" s="169"/>
      <c r="CV228" s="168">
        <f>425.648257709813+20.3517422901865</f>
        <v>445.99999999999949</v>
      </c>
      <c r="CW228" s="169"/>
      <c r="CX228" s="31"/>
      <c r="CY228" s="55"/>
      <c r="CZ228" s="31"/>
      <c r="DA228" s="55"/>
      <c r="DB228" s="67">
        <f>562.90176025743+31.0982397425698</f>
        <v>593.99999999999989</v>
      </c>
      <c r="DC228" s="68"/>
      <c r="DD228" s="67">
        <f>923.018785397321+40.9812146026794</f>
        <v>964.00000000000045</v>
      </c>
      <c r="DE228" s="68"/>
      <c r="DF228" s="67">
        <f>397.90956414565+17.0904358543499</f>
        <v>414.99999999999989</v>
      </c>
      <c r="DG228" s="68"/>
    </row>
    <row r="229" spans="1:111" s="35" customFormat="1" outlineLevel="1" x14ac:dyDescent="0.2">
      <c r="A229" s="30"/>
      <c r="B229" s="33"/>
      <c r="C229" s="34" t="s">
        <v>167</v>
      </c>
      <c r="D229" s="69" t="s">
        <v>167</v>
      </c>
      <c r="E229" s="70"/>
      <c r="F229" s="69" t="s">
        <v>167</v>
      </c>
      <c r="G229" s="70"/>
      <c r="H229" s="85" t="s">
        <v>167</v>
      </c>
      <c r="I229" s="86"/>
      <c r="J229" s="85" t="s">
        <v>167</v>
      </c>
      <c r="K229" s="86"/>
      <c r="L229" s="133"/>
      <c r="M229" s="134"/>
      <c r="N229" s="133"/>
      <c r="O229" s="134"/>
      <c r="P229" s="101" t="s">
        <v>167</v>
      </c>
      <c r="Q229" s="102"/>
      <c r="R229" s="101" t="s">
        <v>167</v>
      </c>
      <c r="S229" s="102"/>
      <c r="T229" s="101" t="s">
        <v>167</v>
      </c>
      <c r="U229" s="102"/>
      <c r="V229" s="117" t="s">
        <v>167</v>
      </c>
      <c r="W229" s="118"/>
      <c r="X229" s="117" t="s">
        <v>167</v>
      </c>
      <c r="Y229" s="118"/>
      <c r="Z229" s="117" t="s">
        <v>167</v>
      </c>
      <c r="AA229" s="118"/>
      <c r="AB229" s="153" t="s">
        <v>167</v>
      </c>
      <c r="AC229" s="154"/>
      <c r="AD229" s="153" t="s">
        <v>167</v>
      </c>
      <c r="AE229" s="154"/>
      <c r="AF229" s="153" t="s">
        <v>167</v>
      </c>
      <c r="AG229" s="154"/>
      <c r="AH229" s="153" t="s">
        <v>167</v>
      </c>
      <c r="AI229" s="154"/>
      <c r="AJ229" s="170" t="s">
        <v>167</v>
      </c>
      <c r="AK229" s="171"/>
      <c r="AL229" s="170" t="s">
        <v>167</v>
      </c>
      <c r="AM229" s="171"/>
      <c r="AN229" s="34"/>
      <c r="AO229" s="56"/>
      <c r="AP229" s="34"/>
      <c r="AQ229" s="56"/>
      <c r="AR229" s="34"/>
      <c r="AS229" s="56"/>
      <c r="AT229" s="34"/>
      <c r="AU229" s="56"/>
      <c r="AV229" s="34"/>
      <c r="AW229" s="56"/>
      <c r="AX229" s="34"/>
      <c r="AY229" s="56"/>
      <c r="AZ229" s="34"/>
      <c r="BA229" s="56"/>
      <c r="BB229" s="34"/>
      <c r="BC229" s="56"/>
      <c r="BD229" s="69" t="s">
        <v>167</v>
      </c>
      <c r="BE229" s="70"/>
      <c r="BF229" s="69" t="s">
        <v>167</v>
      </c>
      <c r="BG229" s="70"/>
      <c r="BH229" s="69" t="s">
        <v>167</v>
      </c>
      <c r="BI229" s="70"/>
      <c r="BJ229" s="69" t="s">
        <v>167</v>
      </c>
      <c r="BK229" s="70"/>
      <c r="BL229" s="85" t="s">
        <v>167</v>
      </c>
      <c r="BM229" s="86"/>
      <c r="BN229" s="85" t="s">
        <v>167</v>
      </c>
      <c r="BO229" s="86"/>
      <c r="BP229" s="101" t="s">
        <v>167</v>
      </c>
      <c r="BQ229" s="102"/>
      <c r="BR229" s="101" t="s">
        <v>167</v>
      </c>
      <c r="BS229" s="102"/>
      <c r="BT229" s="117" t="s">
        <v>167</v>
      </c>
      <c r="BU229" s="118"/>
      <c r="BV229" s="117" t="s">
        <v>167</v>
      </c>
      <c r="BW229" s="118"/>
      <c r="BX229" s="34"/>
      <c r="BY229" s="56"/>
      <c r="BZ229" s="34"/>
      <c r="CA229" s="56"/>
      <c r="CB229" s="34"/>
      <c r="CC229" s="56"/>
      <c r="CD229" s="34"/>
      <c r="CE229" s="56"/>
      <c r="CF229" s="34"/>
      <c r="CG229" s="56"/>
      <c r="CH229" s="34"/>
      <c r="CI229" s="56"/>
      <c r="CJ229" s="34"/>
      <c r="CK229" s="56"/>
      <c r="CL229" s="153" t="s">
        <v>167</v>
      </c>
      <c r="CM229" s="154"/>
      <c r="CN229" s="153" t="s">
        <v>167</v>
      </c>
      <c r="CO229" s="154"/>
      <c r="CP229" s="153" t="s">
        <v>167</v>
      </c>
      <c r="CQ229" s="154"/>
      <c r="CR229" s="170" t="s">
        <v>167</v>
      </c>
      <c r="CS229" s="171"/>
      <c r="CT229" s="170" t="s">
        <v>167</v>
      </c>
      <c r="CU229" s="171"/>
      <c r="CV229" s="170" t="s">
        <v>167</v>
      </c>
      <c r="CW229" s="171"/>
      <c r="CX229" s="34"/>
      <c r="CY229" s="56"/>
      <c r="CZ229" s="34"/>
      <c r="DA229" s="56"/>
      <c r="DB229" s="69" t="s">
        <v>167</v>
      </c>
      <c r="DC229" s="70"/>
      <c r="DD229" s="69" t="s">
        <v>167</v>
      </c>
      <c r="DE229" s="70"/>
      <c r="DF229" s="69" t="s">
        <v>167</v>
      </c>
      <c r="DG229" s="70"/>
    </row>
    <row r="230" spans="1:111" outlineLevel="1" x14ac:dyDescent="0.2">
      <c r="A230" s="30"/>
      <c r="B230" s="30"/>
      <c r="E230" s="66"/>
      <c r="G230" s="66"/>
      <c r="I230" s="82"/>
      <c r="K230" s="82"/>
      <c r="M230" s="130"/>
      <c r="O230" s="130"/>
      <c r="Q230" s="98"/>
      <c r="S230" s="98"/>
      <c r="U230" s="98"/>
      <c r="W230" s="114"/>
      <c r="Y230" s="114"/>
      <c r="AA230" s="114"/>
      <c r="AC230" s="150"/>
      <c r="AE230" s="150"/>
      <c r="AG230" s="150"/>
      <c r="AI230" s="150"/>
      <c r="AK230" s="167"/>
      <c r="AM230" s="167"/>
      <c r="AO230" s="54"/>
      <c r="AQ230" s="54"/>
      <c r="AS230" s="54"/>
      <c r="AU230" s="54"/>
      <c r="AW230" s="54"/>
      <c r="AY230" s="54"/>
      <c r="BA230" s="54"/>
      <c r="BC230" s="54"/>
      <c r="BE230" s="66"/>
      <c r="BG230" s="66"/>
      <c r="BI230" s="66"/>
      <c r="BK230" s="66"/>
      <c r="BM230" s="82"/>
      <c r="BO230" s="82"/>
      <c r="BQ230" s="98"/>
      <c r="BS230" s="98"/>
      <c r="BU230" s="114"/>
      <c r="BW230" s="114"/>
      <c r="BY230" s="54"/>
      <c r="CA230" s="54"/>
      <c r="CC230" s="54"/>
      <c r="CE230" s="54"/>
      <c r="CG230" s="54"/>
      <c r="CI230" s="54"/>
      <c r="CK230" s="54"/>
      <c r="CM230" s="150"/>
      <c r="CO230" s="150"/>
      <c r="CQ230" s="150"/>
      <c r="CS230" s="167"/>
      <c r="CU230" s="167"/>
      <c r="CW230" s="167"/>
      <c r="CY230" s="54"/>
      <c r="DA230" s="54"/>
      <c r="DC230" s="66"/>
      <c r="DE230" s="66"/>
      <c r="DG230" s="66"/>
    </row>
    <row r="231" spans="1:111" outlineLevel="1" x14ac:dyDescent="0.2">
      <c r="A231" s="30"/>
      <c r="B231" s="29" t="s">
        <v>148</v>
      </c>
      <c r="C231" s="36">
        <v>64.257321244498669</v>
      </c>
      <c r="D231" s="71">
        <v>71.654624952992734</v>
      </c>
      <c r="E231" s="68" t="s">
        <v>175</v>
      </c>
      <c r="F231" s="71">
        <v>52.119041978927342</v>
      </c>
      <c r="G231" s="68"/>
      <c r="H231" s="87">
        <v>72.793997867642716</v>
      </c>
      <c r="I231" s="84" t="s">
        <v>177</v>
      </c>
      <c r="J231" s="87">
        <v>46.020788921227933</v>
      </c>
      <c r="K231" s="84"/>
      <c r="L231" s="135"/>
      <c r="M231" s="132"/>
      <c r="N231" s="135"/>
      <c r="O231" s="132"/>
      <c r="P231" s="103">
        <v>71.684347300353735</v>
      </c>
      <c r="Q231" s="100" t="s">
        <v>250</v>
      </c>
      <c r="R231" s="103">
        <v>50.319625935420923</v>
      </c>
      <c r="S231" s="100" t="s">
        <v>182</v>
      </c>
      <c r="T231" s="103">
        <v>40.260348135567682</v>
      </c>
      <c r="U231" s="100"/>
      <c r="V231" s="119">
        <v>61.776376241188622</v>
      </c>
      <c r="W231" s="116" t="s">
        <v>251</v>
      </c>
      <c r="X231" s="119">
        <v>46.669932284015971</v>
      </c>
      <c r="Y231" s="116"/>
      <c r="Z231" s="119">
        <v>36.756683210350594</v>
      </c>
      <c r="AA231" s="116"/>
      <c r="AB231" s="155">
        <v>66.397786151672165</v>
      </c>
      <c r="AC231" s="152"/>
      <c r="AD231" s="155">
        <v>64.347275559993733</v>
      </c>
      <c r="AE231" s="152"/>
      <c r="AF231" s="155">
        <v>64.65649939220971</v>
      </c>
      <c r="AG231" s="152"/>
      <c r="AH231" s="155">
        <v>61.382476280337578</v>
      </c>
      <c r="AI231" s="152"/>
      <c r="AJ231" s="172">
        <v>62.978534714661862</v>
      </c>
      <c r="AK231" s="169"/>
      <c r="AL231" s="172">
        <v>65.503714868103927</v>
      </c>
      <c r="AM231" s="169"/>
      <c r="AN231" s="36"/>
      <c r="AO231" s="55"/>
      <c r="AP231" s="36"/>
      <c r="AQ231" s="55"/>
      <c r="AR231" s="36"/>
      <c r="AS231" s="55"/>
      <c r="AT231" s="36"/>
      <c r="AU231" s="55"/>
      <c r="AV231" s="36"/>
      <c r="AW231" s="55"/>
      <c r="AX231" s="36"/>
      <c r="AY231" s="55"/>
      <c r="AZ231" s="36"/>
      <c r="BA231" s="55"/>
      <c r="BB231" s="36"/>
      <c r="BC231" s="55"/>
      <c r="BD231" s="71">
        <v>68.714918158969141</v>
      </c>
      <c r="BE231" s="68" t="s">
        <v>242</v>
      </c>
      <c r="BF231" s="71">
        <v>62.427475832013421</v>
      </c>
      <c r="BG231" s="68"/>
      <c r="BH231" s="71">
        <v>60.989581308247161</v>
      </c>
      <c r="BI231" s="68"/>
      <c r="BJ231" s="71">
        <v>66.689830542648963</v>
      </c>
      <c r="BK231" s="68"/>
      <c r="BL231" s="87">
        <v>61.615822067357087</v>
      </c>
      <c r="BM231" s="84"/>
      <c r="BN231" s="87">
        <v>67.737073009030112</v>
      </c>
      <c r="BO231" s="84" t="s">
        <v>195</v>
      </c>
      <c r="BP231" s="103">
        <v>57.254521387802662</v>
      </c>
      <c r="BQ231" s="100"/>
      <c r="BR231" s="103">
        <v>67.299403234032482</v>
      </c>
      <c r="BS231" s="100" t="s">
        <v>197</v>
      </c>
      <c r="BT231" s="119">
        <v>68.051403361449616</v>
      </c>
      <c r="BU231" s="116" t="s">
        <v>200</v>
      </c>
      <c r="BV231" s="119">
        <v>61.488861072589472</v>
      </c>
      <c r="BW231" s="116"/>
      <c r="BX231" s="36"/>
      <c r="BY231" s="55"/>
      <c r="BZ231" s="36"/>
      <c r="CA231" s="55"/>
      <c r="CB231" s="36"/>
      <c r="CC231" s="55"/>
      <c r="CD231" s="36"/>
      <c r="CE231" s="55"/>
      <c r="CF231" s="36"/>
      <c r="CG231" s="55"/>
      <c r="CH231" s="36"/>
      <c r="CI231" s="55"/>
      <c r="CJ231" s="36"/>
      <c r="CK231" s="55"/>
      <c r="CL231" s="155">
        <v>61.948361396641637</v>
      </c>
      <c r="CM231" s="152"/>
      <c r="CN231" s="155">
        <v>68.696172167978645</v>
      </c>
      <c r="CO231" s="152" t="s">
        <v>201</v>
      </c>
      <c r="CP231" s="155">
        <v>69.007362191708424</v>
      </c>
      <c r="CQ231" s="152" t="s">
        <v>201</v>
      </c>
      <c r="CR231" s="172">
        <v>77.489521476499434</v>
      </c>
      <c r="CS231" s="169" t="s">
        <v>243</v>
      </c>
      <c r="CT231" s="172">
        <v>54.9217284414947</v>
      </c>
      <c r="CU231" s="169"/>
      <c r="CV231" s="172">
        <v>57.301870577238823</v>
      </c>
      <c r="CW231" s="169"/>
      <c r="CX231" s="36"/>
      <c r="CY231" s="55"/>
      <c r="CZ231" s="36"/>
      <c r="DA231" s="55"/>
      <c r="DB231" s="71">
        <v>71.937454614207525</v>
      </c>
      <c r="DC231" s="68" t="s">
        <v>245</v>
      </c>
      <c r="DD231" s="71">
        <v>64.122591908936585</v>
      </c>
      <c r="DE231" s="68" t="s">
        <v>208</v>
      </c>
      <c r="DF231" s="71">
        <v>53.388004399207794</v>
      </c>
      <c r="DG231" s="68"/>
    </row>
    <row r="232" spans="1:111" outlineLevel="1" x14ac:dyDescent="0.2">
      <c r="A232" s="30"/>
      <c r="B232" s="37" t="s">
        <v>149</v>
      </c>
      <c r="C232" s="38">
        <v>30.39221533701021</v>
      </c>
      <c r="D232" s="72">
        <v>34.157966558716808</v>
      </c>
      <c r="E232" s="68" t="s">
        <v>175</v>
      </c>
      <c r="F232" s="72">
        <v>24.212971956580365</v>
      </c>
      <c r="G232" s="68"/>
      <c r="H232" s="88">
        <v>35.74702031587109</v>
      </c>
      <c r="I232" s="84" t="s">
        <v>177</v>
      </c>
      <c r="J232" s="88">
        <v>18.952977517334919</v>
      </c>
      <c r="K232" s="84"/>
      <c r="L232" s="136"/>
      <c r="M232" s="132"/>
      <c r="N232" s="136"/>
      <c r="O232" s="132"/>
      <c r="P232" s="104">
        <v>42.81231699666192</v>
      </c>
      <c r="Q232" s="100" t="s">
        <v>250</v>
      </c>
      <c r="R232" s="104">
        <v>22.124767766510633</v>
      </c>
      <c r="S232" s="100" t="s">
        <v>182</v>
      </c>
      <c r="T232" s="104">
        <v>12.678265389126222</v>
      </c>
      <c r="U232" s="100"/>
      <c r="V232" s="120">
        <v>32.107710109467533</v>
      </c>
      <c r="W232" s="116" t="s">
        <v>251</v>
      </c>
      <c r="X232" s="120">
        <v>19.607971356097146</v>
      </c>
      <c r="Y232" s="116" t="s">
        <v>185</v>
      </c>
      <c r="Z232" s="120">
        <v>11.196613642748865</v>
      </c>
      <c r="AA232" s="116"/>
      <c r="AB232" s="156">
        <v>33.023324609119776</v>
      </c>
      <c r="AC232" s="152" t="s">
        <v>173</v>
      </c>
      <c r="AD232" s="156">
        <v>32.47652584286768</v>
      </c>
      <c r="AE232" s="152" t="s">
        <v>173</v>
      </c>
      <c r="AF232" s="156">
        <v>31.434550235188418</v>
      </c>
      <c r="AG232" s="152" t="s">
        <v>173</v>
      </c>
      <c r="AH232" s="156">
        <v>22.139094197200819</v>
      </c>
      <c r="AI232" s="152"/>
      <c r="AJ232" s="173">
        <v>29.443323287637924</v>
      </c>
      <c r="AK232" s="169"/>
      <c r="AL232" s="173">
        <v>31.317071028114711</v>
      </c>
      <c r="AM232" s="169"/>
      <c r="AN232" s="38"/>
      <c r="AO232" s="55"/>
      <c r="AP232" s="38"/>
      <c r="AQ232" s="55"/>
      <c r="AR232" s="38"/>
      <c r="AS232" s="55"/>
      <c r="AT232" s="38"/>
      <c r="AU232" s="55"/>
      <c r="AV232" s="38"/>
      <c r="AW232" s="55"/>
      <c r="AX232" s="38"/>
      <c r="AY232" s="55"/>
      <c r="AZ232" s="38"/>
      <c r="BA232" s="55"/>
      <c r="BB232" s="38"/>
      <c r="BC232" s="55"/>
      <c r="BD232" s="72">
        <v>29.597784812749357</v>
      </c>
      <c r="BE232" s="68"/>
      <c r="BF232" s="72">
        <v>31.234552415369645</v>
      </c>
      <c r="BG232" s="68"/>
      <c r="BH232" s="72">
        <v>28.483153897908597</v>
      </c>
      <c r="BI232" s="68"/>
      <c r="BJ232" s="72">
        <v>31.689167042962424</v>
      </c>
      <c r="BK232" s="68"/>
      <c r="BL232" s="88">
        <v>30.421634954093072</v>
      </c>
      <c r="BM232" s="84"/>
      <c r="BN232" s="88">
        <v>30.819386006315103</v>
      </c>
      <c r="BO232" s="84"/>
      <c r="BP232" s="104">
        <v>28.765765664376286</v>
      </c>
      <c r="BQ232" s="100"/>
      <c r="BR232" s="104">
        <v>31.113051455800978</v>
      </c>
      <c r="BS232" s="100"/>
      <c r="BT232" s="120">
        <v>31.043438363003084</v>
      </c>
      <c r="BU232" s="116"/>
      <c r="BV232" s="120">
        <v>29.920913244833343</v>
      </c>
      <c r="BW232" s="116"/>
      <c r="BX232" s="38"/>
      <c r="BY232" s="55"/>
      <c r="BZ232" s="38"/>
      <c r="CA232" s="55"/>
      <c r="CB232" s="38"/>
      <c r="CC232" s="55"/>
      <c r="CD232" s="38"/>
      <c r="CE232" s="55"/>
      <c r="CF232" s="38"/>
      <c r="CG232" s="55"/>
      <c r="CH232" s="38"/>
      <c r="CI232" s="55"/>
      <c r="CJ232" s="38"/>
      <c r="CK232" s="55"/>
      <c r="CL232" s="156">
        <v>26.083359603985251</v>
      </c>
      <c r="CM232" s="152"/>
      <c r="CN232" s="156">
        <v>42.296428933409913</v>
      </c>
      <c r="CO232" s="152" t="s">
        <v>201</v>
      </c>
      <c r="CP232" s="156">
        <v>39.25924564007282</v>
      </c>
      <c r="CQ232" s="152" t="s">
        <v>201</v>
      </c>
      <c r="CR232" s="173">
        <v>44.335811067211317</v>
      </c>
      <c r="CS232" s="169" t="s">
        <v>243</v>
      </c>
      <c r="CT232" s="173">
        <v>19.94265064575357</v>
      </c>
      <c r="CU232" s="169"/>
      <c r="CV232" s="173">
        <v>20.751302678479249</v>
      </c>
      <c r="CW232" s="169"/>
      <c r="CX232" s="38"/>
      <c r="CY232" s="55"/>
      <c r="CZ232" s="38"/>
      <c r="DA232" s="55"/>
      <c r="DB232" s="72">
        <v>40.223708957660449</v>
      </c>
      <c r="DC232" s="68" t="s">
        <v>245</v>
      </c>
      <c r="DD232" s="72">
        <v>29.287317825176892</v>
      </c>
      <c r="DE232" s="68" t="s">
        <v>208</v>
      </c>
      <c r="DF232" s="72">
        <v>18.601119482356296</v>
      </c>
      <c r="DG232" s="68"/>
    </row>
    <row r="233" spans="1:111" outlineLevel="1" x14ac:dyDescent="0.2">
      <c r="A233" s="30"/>
      <c r="B233" s="37" t="s">
        <v>150</v>
      </c>
      <c r="C233" s="38">
        <v>33.865105907488456</v>
      </c>
      <c r="D233" s="72">
        <v>37.496658394275926</v>
      </c>
      <c r="E233" s="68" t="s">
        <v>175</v>
      </c>
      <c r="F233" s="72">
        <v>27.906070022346977</v>
      </c>
      <c r="G233" s="68"/>
      <c r="H233" s="88">
        <v>37.046977551771633</v>
      </c>
      <c r="I233" s="84" t="s">
        <v>177</v>
      </c>
      <c r="J233" s="88">
        <v>27.067811403893014</v>
      </c>
      <c r="K233" s="84"/>
      <c r="L233" s="136"/>
      <c r="M233" s="132"/>
      <c r="N233" s="136"/>
      <c r="O233" s="132"/>
      <c r="P233" s="104">
        <v>28.872030303691815</v>
      </c>
      <c r="Q233" s="100"/>
      <c r="R233" s="104">
        <v>28.19485816891029</v>
      </c>
      <c r="S233" s="100"/>
      <c r="T233" s="104">
        <v>27.582082746441458</v>
      </c>
      <c r="U233" s="100"/>
      <c r="V233" s="120">
        <v>29.668666131721089</v>
      </c>
      <c r="W233" s="116"/>
      <c r="X233" s="120">
        <v>27.061960927918829</v>
      </c>
      <c r="Y233" s="116"/>
      <c r="Z233" s="120">
        <v>25.56006956760173</v>
      </c>
      <c r="AA233" s="116"/>
      <c r="AB233" s="156">
        <v>33.374461542552382</v>
      </c>
      <c r="AC233" s="152"/>
      <c r="AD233" s="156">
        <v>31.87074971712606</v>
      </c>
      <c r="AE233" s="152"/>
      <c r="AF233" s="156">
        <v>33.221949157021299</v>
      </c>
      <c r="AG233" s="152"/>
      <c r="AH233" s="156">
        <v>39.243382083136758</v>
      </c>
      <c r="AI233" s="152" t="s">
        <v>171</v>
      </c>
      <c r="AJ233" s="173">
        <v>33.535211427023938</v>
      </c>
      <c r="AK233" s="169"/>
      <c r="AL233" s="173">
        <v>34.186643839989216</v>
      </c>
      <c r="AM233" s="169"/>
      <c r="AN233" s="38"/>
      <c r="AO233" s="55"/>
      <c r="AP233" s="38"/>
      <c r="AQ233" s="55"/>
      <c r="AR233" s="38"/>
      <c r="AS233" s="55"/>
      <c r="AT233" s="38"/>
      <c r="AU233" s="55"/>
      <c r="AV233" s="38"/>
      <c r="AW233" s="55"/>
      <c r="AX233" s="38"/>
      <c r="AY233" s="55"/>
      <c r="AZ233" s="38"/>
      <c r="BA233" s="55"/>
      <c r="BB233" s="38"/>
      <c r="BC233" s="55"/>
      <c r="BD233" s="72">
        <v>39.117133346219788</v>
      </c>
      <c r="BE233" s="68" t="s">
        <v>192</v>
      </c>
      <c r="BF233" s="72">
        <v>31.192923416643772</v>
      </c>
      <c r="BG233" s="68"/>
      <c r="BH233" s="72">
        <v>32.50642741033856</v>
      </c>
      <c r="BI233" s="68"/>
      <c r="BJ233" s="72">
        <v>35.000663499686539</v>
      </c>
      <c r="BK233" s="68"/>
      <c r="BL233" s="88">
        <v>31.194187113264014</v>
      </c>
      <c r="BM233" s="84"/>
      <c r="BN233" s="88">
        <v>36.917687002715006</v>
      </c>
      <c r="BO233" s="84" t="s">
        <v>195</v>
      </c>
      <c r="BP233" s="104">
        <v>28.488755723426376</v>
      </c>
      <c r="BQ233" s="100"/>
      <c r="BR233" s="104">
        <v>36.186351778231497</v>
      </c>
      <c r="BS233" s="100" t="s">
        <v>197</v>
      </c>
      <c r="BT233" s="120">
        <v>37.007964998446532</v>
      </c>
      <c r="BU233" s="116" t="s">
        <v>200</v>
      </c>
      <c r="BV233" s="120">
        <v>31.567947827756132</v>
      </c>
      <c r="BW233" s="116"/>
      <c r="BX233" s="38"/>
      <c r="BY233" s="55"/>
      <c r="BZ233" s="38"/>
      <c r="CA233" s="55"/>
      <c r="CB233" s="38"/>
      <c r="CC233" s="55"/>
      <c r="CD233" s="38"/>
      <c r="CE233" s="55"/>
      <c r="CF233" s="38"/>
      <c r="CG233" s="55"/>
      <c r="CH233" s="38"/>
      <c r="CI233" s="55"/>
      <c r="CJ233" s="38"/>
      <c r="CK233" s="55"/>
      <c r="CL233" s="156">
        <v>35.865001792656386</v>
      </c>
      <c r="CM233" s="152" t="s">
        <v>202</v>
      </c>
      <c r="CN233" s="156">
        <v>26.399743234568735</v>
      </c>
      <c r="CO233" s="152"/>
      <c r="CP233" s="156">
        <v>29.748116551635611</v>
      </c>
      <c r="CQ233" s="152"/>
      <c r="CR233" s="173">
        <v>33.153710409288117</v>
      </c>
      <c r="CS233" s="169"/>
      <c r="CT233" s="173">
        <v>34.979077795741134</v>
      </c>
      <c r="CU233" s="169"/>
      <c r="CV233" s="173">
        <v>36.550567898759574</v>
      </c>
      <c r="CW233" s="169"/>
      <c r="CX233" s="38"/>
      <c r="CY233" s="55"/>
      <c r="CZ233" s="38"/>
      <c r="DA233" s="55"/>
      <c r="DB233" s="72">
        <v>31.713745656547069</v>
      </c>
      <c r="DC233" s="68"/>
      <c r="DD233" s="72">
        <v>34.8352740837597</v>
      </c>
      <c r="DE233" s="68"/>
      <c r="DF233" s="72">
        <v>34.786884916851498</v>
      </c>
      <c r="DG233" s="68"/>
    </row>
    <row r="234" spans="1:111" outlineLevel="1" x14ac:dyDescent="0.2">
      <c r="A234" s="30"/>
      <c r="B234" s="29"/>
      <c r="E234" s="66"/>
      <c r="G234" s="66"/>
      <c r="I234" s="82"/>
      <c r="K234" s="82"/>
      <c r="M234" s="130"/>
      <c r="O234" s="130"/>
      <c r="Q234" s="98"/>
      <c r="S234" s="98"/>
      <c r="U234" s="98"/>
      <c r="W234" s="114"/>
      <c r="Y234" s="114"/>
      <c r="AA234" s="114"/>
      <c r="AC234" s="150"/>
      <c r="AE234" s="150"/>
      <c r="AG234" s="150"/>
      <c r="AI234" s="150"/>
      <c r="AK234" s="167"/>
      <c r="AM234" s="167"/>
      <c r="AO234" s="54"/>
      <c r="AQ234" s="54"/>
      <c r="AS234" s="54"/>
      <c r="AU234" s="54"/>
      <c r="AW234" s="54"/>
      <c r="AY234" s="54"/>
      <c r="BA234" s="54"/>
      <c r="BC234" s="54"/>
      <c r="BE234" s="66"/>
      <c r="BG234" s="66"/>
      <c r="BI234" s="66"/>
      <c r="BK234" s="66"/>
      <c r="BM234" s="82"/>
      <c r="BO234" s="82"/>
      <c r="BQ234" s="98"/>
      <c r="BS234" s="98"/>
      <c r="BU234" s="114"/>
      <c r="BW234" s="114"/>
      <c r="BY234" s="54"/>
      <c r="CA234" s="54"/>
      <c r="CC234" s="54"/>
      <c r="CE234" s="54"/>
      <c r="CG234" s="54"/>
      <c r="CI234" s="54"/>
      <c r="CK234" s="54"/>
      <c r="CM234" s="150"/>
      <c r="CO234" s="150"/>
      <c r="CQ234" s="150"/>
      <c r="CS234" s="167"/>
      <c r="CU234" s="167"/>
      <c r="CW234" s="167"/>
      <c r="CY234" s="54"/>
      <c r="DA234" s="54"/>
      <c r="DC234" s="66"/>
      <c r="DE234" s="66"/>
      <c r="DG234" s="66"/>
    </row>
    <row r="235" spans="1:111" outlineLevel="1" x14ac:dyDescent="0.2">
      <c r="A235" s="30"/>
      <c r="B235" s="32" t="s">
        <v>151</v>
      </c>
      <c r="C235" s="38">
        <v>28.093882470360342</v>
      </c>
      <c r="D235" s="72">
        <v>22.776259734364928</v>
      </c>
      <c r="E235" s="68"/>
      <c r="F235" s="72">
        <v>36.81960096754019</v>
      </c>
      <c r="G235" s="68" t="s">
        <v>174</v>
      </c>
      <c r="H235" s="88">
        <v>22.073345708670846</v>
      </c>
      <c r="I235" s="84"/>
      <c r="J235" s="88">
        <v>40.955294247435859</v>
      </c>
      <c r="K235" s="84" t="s">
        <v>176</v>
      </c>
      <c r="L235" s="136"/>
      <c r="M235" s="132"/>
      <c r="N235" s="136"/>
      <c r="O235" s="132"/>
      <c r="P235" s="104">
        <v>20.284054400100228</v>
      </c>
      <c r="Q235" s="100"/>
      <c r="R235" s="104">
        <v>39.983030089156898</v>
      </c>
      <c r="S235" s="100" t="s">
        <v>180</v>
      </c>
      <c r="T235" s="104">
        <v>43.588290758312617</v>
      </c>
      <c r="U235" s="100" t="s">
        <v>180</v>
      </c>
      <c r="V235" s="120">
        <v>26.89727773379386</v>
      </c>
      <c r="W235" s="116"/>
      <c r="X235" s="120">
        <v>42.221697768303258</v>
      </c>
      <c r="Y235" s="116" t="s">
        <v>183</v>
      </c>
      <c r="Z235" s="120">
        <v>45.878940117126582</v>
      </c>
      <c r="AA235" s="116" t="s">
        <v>183</v>
      </c>
      <c r="AB235" s="156">
        <v>22.912337798003435</v>
      </c>
      <c r="AC235" s="152"/>
      <c r="AD235" s="156">
        <v>26.863968596008895</v>
      </c>
      <c r="AE235" s="152"/>
      <c r="AF235" s="156">
        <v>29.801080809682365</v>
      </c>
      <c r="AG235" s="152" t="s">
        <v>170</v>
      </c>
      <c r="AH235" s="156">
        <v>35.127509566493686</v>
      </c>
      <c r="AI235" s="152" t="s">
        <v>240</v>
      </c>
      <c r="AJ235" s="173">
        <v>27.312504689924218</v>
      </c>
      <c r="AK235" s="169"/>
      <c r="AL235" s="173">
        <v>28.855467191843687</v>
      </c>
      <c r="AM235" s="169"/>
      <c r="AN235" s="38"/>
      <c r="AO235" s="55"/>
      <c r="AP235" s="38"/>
      <c r="AQ235" s="55"/>
      <c r="AR235" s="38"/>
      <c r="AS235" s="55"/>
      <c r="AT235" s="38"/>
      <c r="AU235" s="55"/>
      <c r="AV235" s="38"/>
      <c r="AW235" s="55"/>
      <c r="AX235" s="38"/>
      <c r="AY235" s="55"/>
      <c r="AZ235" s="38"/>
      <c r="BA235" s="55"/>
      <c r="BB235" s="38"/>
      <c r="BC235" s="55"/>
      <c r="BD235" s="72">
        <v>23.877721963200877</v>
      </c>
      <c r="BE235" s="68"/>
      <c r="BF235" s="72">
        <v>28.571075958055172</v>
      </c>
      <c r="BG235" s="68"/>
      <c r="BH235" s="72">
        <v>33.599979626922568</v>
      </c>
      <c r="BI235" s="68" t="s">
        <v>248</v>
      </c>
      <c r="BJ235" s="72">
        <v>25.338701350585261</v>
      </c>
      <c r="BK235" s="68"/>
      <c r="BL235" s="88">
        <v>30.115024699462669</v>
      </c>
      <c r="BM235" s="84" t="s">
        <v>196</v>
      </c>
      <c r="BN235" s="88">
        <v>25.895849161057026</v>
      </c>
      <c r="BO235" s="84"/>
      <c r="BP235" s="104">
        <v>32.196782847857499</v>
      </c>
      <c r="BQ235" s="100" t="s">
        <v>198</v>
      </c>
      <c r="BR235" s="104">
        <v>26.478575152023666</v>
      </c>
      <c r="BS235" s="100"/>
      <c r="BT235" s="120">
        <v>25.184275656952455</v>
      </c>
      <c r="BU235" s="116"/>
      <c r="BV235" s="120">
        <v>30.332326499593812</v>
      </c>
      <c r="BW235" s="116" t="s">
        <v>199</v>
      </c>
      <c r="BX235" s="38"/>
      <c r="BY235" s="55"/>
      <c r="BZ235" s="38"/>
      <c r="CA235" s="55"/>
      <c r="CB235" s="38"/>
      <c r="CC235" s="55"/>
      <c r="CD235" s="38"/>
      <c r="CE235" s="55"/>
      <c r="CF235" s="38"/>
      <c r="CG235" s="55"/>
      <c r="CH235" s="38"/>
      <c r="CI235" s="55"/>
      <c r="CJ235" s="38"/>
      <c r="CK235" s="55"/>
      <c r="CL235" s="156">
        <v>31.644749608825784</v>
      </c>
      <c r="CM235" s="152" t="s">
        <v>246</v>
      </c>
      <c r="CN235" s="156">
        <v>19.571539579039833</v>
      </c>
      <c r="CO235" s="152"/>
      <c r="CP235" s="156">
        <v>21.335613185142964</v>
      </c>
      <c r="CQ235" s="152"/>
      <c r="CR235" s="173">
        <v>16.887111282038042</v>
      </c>
      <c r="CS235" s="169"/>
      <c r="CT235" s="173">
        <v>35.126449562860238</v>
      </c>
      <c r="CU235" s="169" t="s">
        <v>48</v>
      </c>
      <c r="CV235" s="173">
        <v>34.202247575081415</v>
      </c>
      <c r="CW235" s="169" t="s">
        <v>48</v>
      </c>
      <c r="CX235" s="38"/>
      <c r="CY235" s="55"/>
      <c r="CZ235" s="38"/>
      <c r="DA235" s="55"/>
      <c r="DB235" s="72">
        <v>21.233107485836101</v>
      </c>
      <c r="DC235" s="68"/>
      <c r="DD235" s="72">
        <v>29.136973233523616</v>
      </c>
      <c r="DE235" s="68" t="s">
        <v>206</v>
      </c>
      <c r="DF235" s="72">
        <v>35.702733789915555</v>
      </c>
      <c r="DG235" s="68" t="s">
        <v>249</v>
      </c>
    </row>
    <row r="236" spans="1:111" outlineLevel="1" x14ac:dyDescent="0.2">
      <c r="A236" s="30"/>
      <c r="B236" s="29"/>
      <c r="E236" s="66"/>
      <c r="G236" s="66"/>
      <c r="I236" s="82"/>
      <c r="K236" s="82"/>
      <c r="M236" s="130"/>
      <c r="O236" s="130"/>
      <c r="Q236" s="98"/>
      <c r="S236" s="98"/>
      <c r="U236" s="98"/>
      <c r="W236" s="114"/>
      <c r="Y236" s="114"/>
      <c r="AA236" s="114"/>
      <c r="AC236" s="150"/>
      <c r="AE236" s="150"/>
      <c r="AG236" s="150"/>
      <c r="AI236" s="150"/>
      <c r="AK236" s="167"/>
      <c r="AM236" s="167"/>
      <c r="AO236" s="54"/>
      <c r="AQ236" s="54"/>
      <c r="AS236" s="54"/>
      <c r="AU236" s="54"/>
      <c r="AW236" s="54"/>
      <c r="AY236" s="54"/>
      <c r="BA236" s="54"/>
      <c r="BC236" s="54"/>
      <c r="BE236" s="66"/>
      <c r="BG236" s="66"/>
      <c r="BI236" s="66"/>
      <c r="BK236" s="66"/>
      <c r="BM236" s="82"/>
      <c r="BO236" s="82"/>
      <c r="BQ236" s="98"/>
      <c r="BS236" s="98"/>
      <c r="BU236" s="114"/>
      <c r="BW236" s="114"/>
      <c r="BY236" s="54"/>
      <c r="CA236" s="54"/>
      <c r="CC236" s="54"/>
      <c r="CE236" s="54"/>
      <c r="CG236" s="54"/>
      <c r="CI236" s="54"/>
      <c r="CK236" s="54"/>
      <c r="CM236" s="150"/>
      <c r="CO236" s="150"/>
      <c r="CQ236" s="150"/>
      <c r="CS236" s="167"/>
      <c r="CU236" s="167"/>
      <c r="CW236" s="167"/>
      <c r="CY236" s="54"/>
      <c r="DA236" s="54"/>
      <c r="DC236" s="66"/>
      <c r="DE236" s="66"/>
      <c r="DG236" s="66"/>
    </row>
    <row r="237" spans="1:111" outlineLevel="1" x14ac:dyDescent="0.2">
      <c r="A237" s="30"/>
      <c r="B237" s="29" t="s">
        <v>152</v>
      </c>
      <c r="C237" s="36">
        <v>7.6487962851409934</v>
      </c>
      <c r="D237" s="71">
        <v>5.5691153126423378</v>
      </c>
      <c r="E237" s="68"/>
      <c r="F237" s="71">
        <v>11.06135705353247</v>
      </c>
      <c r="G237" s="68" t="s">
        <v>174</v>
      </c>
      <c r="H237" s="87">
        <v>5.132656423686436</v>
      </c>
      <c r="I237" s="84"/>
      <c r="J237" s="87">
        <v>13.023916831336209</v>
      </c>
      <c r="K237" s="84" t="s">
        <v>176</v>
      </c>
      <c r="L237" s="135"/>
      <c r="M237" s="132"/>
      <c r="N237" s="135"/>
      <c r="O237" s="132"/>
      <c r="P237" s="103">
        <v>8.0315982995460331</v>
      </c>
      <c r="Q237" s="100"/>
      <c r="R237" s="103">
        <v>9.6973439754221715</v>
      </c>
      <c r="S237" s="100"/>
      <c r="T237" s="103">
        <v>16.151361106119712</v>
      </c>
      <c r="U237" s="100" t="s">
        <v>180</v>
      </c>
      <c r="V237" s="119">
        <v>11.326346025017518</v>
      </c>
      <c r="W237" s="116"/>
      <c r="X237" s="119">
        <v>11.108369947680767</v>
      </c>
      <c r="Y237" s="116"/>
      <c r="Z237" s="119">
        <v>17.364376672522823</v>
      </c>
      <c r="AA237" s="116"/>
      <c r="AB237" s="155">
        <v>10.689876050324404</v>
      </c>
      <c r="AC237" s="152" t="s">
        <v>244</v>
      </c>
      <c r="AD237" s="155">
        <v>8.7887558439973628</v>
      </c>
      <c r="AE237" s="152" t="s">
        <v>173</v>
      </c>
      <c r="AF237" s="155">
        <v>5.5424197981079226</v>
      </c>
      <c r="AG237" s="152"/>
      <c r="AH237" s="155">
        <v>3.4900141531687372</v>
      </c>
      <c r="AI237" s="152"/>
      <c r="AJ237" s="172">
        <v>9.7089605954139131</v>
      </c>
      <c r="AK237" s="169" t="s">
        <v>187</v>
      </c>
      <c r="AL237" s="172">
        <v>5.6408179400523917</v>
      </c>
      <c r="AM237" s="169"/>
      <c r="AN237" s="36"/>
      <c r="AO237" s="55"/>
      <c r="AP237" s="36"/>
      <c r="AQ237" s="55"/>
      <c r="AR237" s="36"/>
      <c r="AS237" s="55"/>
      <c r="AT237" s="36"/>
      <c r="AU237" s="55"/>
      <c r="AV237" s="36"/>
      <c r="AW237" s="55"/>
      <c r="AX237" s="36"/>
      <c r="AY237" s="55"/>
      <c r="AZ237" s="36"/>
      <c r="BA237" s="55"/>
      <c r="BB237" s="36"/>
      <c r="BC237" s="55"/>
      <c r="BD237" s="71">
        <v>7.4073598778299736</v>
      </c>
      <c r="BE237" s="68"/>
      <c r="BF237" s="71">
        <v>9.0014482099314019</v>
      </c>
      <c r="BG237" s="68" t="s">
        <v>193</v>
      </c>
      <c r="BH237" s="71">
        <v>5.4104390648302703</v>
      </c>
      <c r="BI237" s="68"/>
      <c r="BJ237" s="71">
        <v>7.9714681067657738</v>
      </c>
      <c r="BK237" s="68"/>
      <c r="BL237" s="87">
        <v>8.2691532331802424</v>
      </c>
      <c r="BM237" s="84"/>
      <c r="BN237" s="87">
        <v>6.3670778299128621</v>
      </c>
      <c r="BO237" s="84"/>
      <c r="BP237" s="103">
        <v>10.54869576433984</v>
      </c>
      <c r="BQ237" s="100" t="s">
        <v>198</v>
      </c>
      <c r="BR237" s="103">
        <v>6.2220216139438502</v>
      </c>
      <c r="BS237" s="100"/>
      <c r="BT237" s="119">
        <v>6.7643209815979244</v>
      </c>
      <c r="BU237" s="116"/>
      <c r="BV237" s="119">
        <v>8.1788124278167196</v>
      </c>
      <c r="BW237" s="116"/>
      <c r="BX237" s="36"/>
      <c r="BY237" s="55"/>
      <c r="BZ237" s="36"/>
      <c r="CA237" s="55"/>
      <c r="CB237" s="36"/>
      <c r="CC237" s="55"/>
      <c r="CD237" s="36"/>
      <c r="CE237" s="55"/>
      <c r="CF237" s="36"/>
      <c r="CG237" s="55"/>
      <c r="CH237" s="36"/>
      <c r="CI237" s="55"/>
      <c r="CJ237" s="36"/>
      <c r="CK237" s="55"/>
      <c r="CL237" s="155">
        <v>6.4068889945325784</v>
      </c>
      <c r="CM237" s="152"/>
      <c r="CN237" s="155">
        <v>11.732288252981519</v>
      </c>
      <c r="CO237" s="152" t="s">
        <v>201</v>
      </c>
      <c r="CP237" s="155">
        <v>9.6570246231485992</v>
      </c>
      <c r="CQ237" s="152"/>
      <c r="CR237" s="172">
        <v>5.6233672414625175</v>
      </c>
      <c r="CS237" s="169"/>
      <c r="CT237" s="172">
        <v>9.9518219956450551</v>
      </c>
      <c r="CU237" s="169" t="s">
        <v>48</v>
      </c>
      <c r="CV237" s="172">
        <v>8.4958818476797529</v>
      </c>
      <c r="CW237" s="169"/>
      <c r="CX237" s="36"/>
      <c r="CY237" s="55"/>
      <c r="CZ237" s="36"/>
      <c r="DA237" s="55"/>
      <c r="DB237" s="71">
        <v>6.8294378999563827</v>
      </c>
      <c r="DC237" s="68"/>
      <c r="DD237" s="71">
        <v>6.7404348575397908</v>
      </c>
      <c r="DE237" s="68"/>
      <c r="DF237" s="71">
        <v>10.909261810876657</v>
      </c>
      <c r="DG237" s="68" t="s">
        <v>249</v>
      </c>
    </row>
    <row r="238" spans="1:111" outlineLevel="1" x14ac:dyDescent="0.2">
      <c r="A238" s="30"/>
      <c r="B238" s="37" t="s">
        <v>153</v>
      </c>
      <c r="C238" s="38">
        <v>3.2474133984900355</v>
      </c>
      <c r="D238" s="72">
        <v>3.0367630328451014</v>
      </c>
      <c r="E238" s="68"/>
      <c r="F238" s="72">
        <v>3.5930708253517825</v>
      </c>
      <c r="G238" s="68"/>
      <c r="H238" s="88">
        <v>2.8226508015477703</v>
      </c>
      <c r="I238" s="84"/>
      <c r="J238" s="88">
        <v>4.1548153267595307</v>
      </c>
      <c r="K238" s="84"/>
      <c r="L238" s="136"/>
      <c r="M238" s="132"/>
      <c r="N238" s="136"/>
      <c r="O238" s="132"/>
      <c r="P238" s="104">
        <v>4.1528054737989049</v>
      </c>
      <c r="Q238" s="100"/>
      <c r="R238" s="104">
        <v>2.9493393670794106</v>
      </c>
      <c r="S238" s="100"/>
      <c r="T238" s="104">
        <v>4.1824378764078158</v>
      </c>
      <c r="U238" s="100"/>
      <c r="V238" s="120">
        <v>5.8563825052719354</v>
      </c>
      <c r="W238" s="116"/>
      <c r="X238" s="120">
        <v>3.3784872305048292</v>
      </c>
      <c r="Y238" s="116"/>
      <c r="Z238" s="120">
        <v>4.4965514805965281</v>
      </c>
      <c r="AA238" s="116"/>
      <c r="AB238" s="156">
        <v>4.9676973014450034</v>
      </c>
      <c r="AC238" s="152" t="s">
        <v>173</v>
      </c>
      <c r="AD238" s="156">
        <v>3.0304754759017984</v>
      </c>
      <c r="AE238" s="152"/>
      <c r="AF238" s="156">
        <v>3.2975926219544425</v>
      </c>
      <c r="AG238" s="152"/>
      <c r="AH238" s="156">
        <v>1.7790795198406457</v>
      </c>
      <c r="AI238" s="152"/>
      <c r="AJ238" s="173">
        <v>4.3401973562032552</v>
      </c>
      <c r="AK238" s="169" t="s">
        <v>187</v>
      </c>
      <c r="AL238" s="173">
        <v>2.1823107209964743</v>
      </c>
      <c r="AM238" s="169"/>
      <c r="AN238" s="38"/>
      <c r="AO238" s="55"/>
      <c r="AP238" s="38"/>
      <c r="AQ238" s="55"/>
      <c r="AR238" s="38"/>
      <c r="AS238" s="55"/>
      <c r="AT238" s="38"/>
      <c r="AU238" s="55"/>
      <c r="AV238" s="38"/>
      <c r="AW238" s="55"/>
      <c r="AX238" s="38"/>
      <c r="AY238" s="55"/>
      <c r="AZ238" s="38"/>
      <c r="BA238" s="55"/>
      <c r="BB238" s="38"/>
      <c r="BC238" s="55"/>
      <c r="BD238" s="72">
        <v>3.185173837498573</v>
      </c>
      <c r="BE238" s="68"/>
      <c r="BF238" s="72">
        <v>4.0088119525458277</v>
      </c>
      <c r="BG238" s="68"/>
      <c r="BH238" s="72">
        <v>2.7255812409432463</v>
      </c>
      <c r="BI238" s="68"/>
      <c r="BJ238" s="72">
        <v>2.6033570739616931</v>
      </c>
      <c r="BK238" s="68"/>
      <c r="BL238" s="88">
        <v>3.3052637853702014</v>
      </c>
      <c r="BM238" s="84"/>
      <c r="BN238" s="88">
        <v>2.8472549994573351</v>
      </c>
      <c r="BO238" s="84"/>
      <c r="BP238" s="104">
        <v>4.5284952831781258</v>
      </c>
      <c r="BQ238" s="100" t="s">
        <v>198</v>
      </c>
      <c r="BR238" s="104">
        <v>2.6544894014746734</v>
      </c>
      <c r="BS238" s="100"/>
      <c r="BT238" s="120">
        <v>3.2083154179784552</v>
      </c>
      <c r="BU238" s="116"/>
      <c r="BV238" s="120">
        <v>3.2274613178124851</v>
      </c>
      <c r="BW238" s="116"/>
      <c r="BX238" s="38"/>
      <c r="BY238" s="55"/>
      <c r="BZ238" s="38"/>
      <c r="CA238" s="55"/>
      <c r="CB238" s="38"/>
      <c r="CC238" s="55"/>
      <c r="CD238" s="38"/>
      <c r="CE238" s="55"/>
      <c r="CF238" s="38"/>
      <c r="CG238" s="55"/>
      <c r="CH238" s="38"/>
      <c r="CI238" s="55"/>
      <c r="CJ238" s="38"/>
      <c r="CK238" s="55"/>
      <c r="CL238" s="156">
        <v>2.465815088756329</v>
      </c>
      <c r="CM238" s="152"/>
      <c r="CN238" s="156">
        <v>5.8284401500050675</v>
      </c>
      <c r="CO238" s="152" t="s">
        <v>201</v>
      </c>
      <c r="CP238" s="156">
        <v>3.4802128542648312</v>
      </c>
      <c r="CQ238" s="152"/>
      <c r="CR238" s="173">
        <v>3.1512574914069931</v>
      </c>
      <c r="CS238" s="169"/>
      <c r="CT238" s="173">
        <v>4.0542391917565936</v>
      </c>
      <c r="CU238" s="169"/>
      <c r="CV238" s="173">
        <v>3.0317804816139931</v>
      </c>
      <c r="CW238" s="169"/>
      <c r="CX238" s="38"/>
      <c r="CY238" s="55"/>
      <c r="CZ238" s="38"/>
      <c r="DA238" s="55"/>
      <c r="DB238" s="72">
        <v>2.8776589955671001</v>
      </c>
      <c r="DC238" s="68"/>
      <c r="DD238" s="72">
        <v>3.233763370041109</v>
      </c>
      <c r="DE238" s="68"/>
      <c r="DF238" s="72">
        <v>3.8165550913144042</v>
      </c>
      <c r="DG238" s="68"/>
    </row>
    <row r="239" spans="1:111" outlineLevel="1" x14ac:dyDescent="0.2">
      <c r="A239" s="30"/>
      <c r="B239" s="37" t="s">
        <v>154</v>
      </c>
      <c r="C239" s="38">
        <v>4.4013828866509579</v>
      </c>
      <c r="D239" s="72">
        <v>2.5323522797972364</v>
      </c>
      <c r="E239" s="68"/>
      <c r="F239" s="72">
        <v>7.4682862281806877</v>
      </c>
      <c r="G239" s="68" t="s">
        <v>174</v>
      </c>
      <c r="H239" s="88">
        <v>2.3100056221386653</v>
      </c>
      <c r="I239" s="84"/>
      <c r="J239" s="88">
        <v>8.8691015045766779</v>
      </c>
      <c r="K239" s="84" t="s">
        <v>176</v>
      </c>
      <c r="L239" s="136"/>
      <c r="M239" s="132"/>
      <c r="N239" s="136"/>
      <c r="O239" s="132"/>
      <c r="P239" s="104">
        <v>3.8787928257471282</v>
      </c>
      <c r="Q239" s="100"/>
      <c r="R239" s="104">
        <v>6.7480046083427609</v>
      </c>
      <c r="S239" s="100"/>
      <c r="T239" s="104">
        <v>11.968923229711898</v>
      </c>
      <c r="U239" s="100" t="s">
        <v>180</v>
      </c>
      <c r="V239" s="120">
        <v>5.4699635197455816</v>
      </c>
      <c r="W239" s="116"/>
      <c r="X239" s="120">
        <v>7.729882717175939</v>
      </c>
      <c r="Y239" s="116"/>
      <c r="Z239" s="120">
        <v>12.867825191926295</v>
      </c>
      <c r="AA239" s="116" t="s">
        <v>183</v>
      </c>
      <c r="AB239" s="156">
        <v>5.7221787488794007</v>
      </c>
      <c r="AC239" s="152" t="s">
        <v>244</v>
      </c>
      <c r="AD239" s="156">
        <v>5.7582803680955648</v>
      </c>
      <c r="AE239" s="152" t="s">
        <v>244</v>
      </c>
      <c r="AF239" s="156">
        <v>2.2448271761534802</v>
      </c>
      <c r="AG239" s="152"/>
      <c r="AH239" s="156">
        <v>1.7109346333280915</v>
      </c>
      <c r="AI239" s="152"/>
      <c r="AJ239" s="173">
        <v>5.3687632392106588</v>
      </c>
      <c r="AK239" s="169" t="s">
        <v>187</v>
      </c>
      <c r="AL239" s="173">
        <v>3.4585072190559174</v>
      </c>
      <c r="AM239" s="169"/>
      <c r="AN239" s="38"/>
      <c r="AO239" s="55"/>
      <c r="AP239" s="38"/>
      <c r="AQ239" s="55"/>
      <c r="AR239" s="38"/>
      <c r="AS239" s="55"/>
      <c r="AT239" s="38"/>
      <c r="AU239" s="55"/>
      <c r="AV239" s="38"/>
      <c r="AW239" s="55"/>
      <c r="AX239" s="38"/>
      <c r="AY239" s="55"/>
      <c r="AZ239" s="38"/>
      <c r="BA239" s="55"/>
      <c r="BB239" s="38"/>
      <c r="BC239" s="55"/>
      <c r="BD239" s="72">
        <v>4.2221860403314011</v>
      </c>
      <c r="BE239" s="68"/>
      <c r="BF239" s="72">
        <v>4.9926362573855743</v>
      </c>
      <c r="BG239" s="68"/>
      <c r="BH239" s="72">
        <v>2.684857823887024</v>
      </c>
      <c r="BI239" s="68"/>
      <c r="BJ239" s="72">
        <v>5.3681110328040802</v>
      </c>
      <c r="BK239" s="68"/>
      <c r="BL239" s="88">
        <v>4.9638894478100415</v>
      </c>
      <c r="BM239" s="84"/>
      <c r="BN239" s="88">
        <v>3.519822830455527</v>
      </c>
      <c r="BO239" s="84"/>
      <c r="BP239" s="104">
        <v>6.0202004811617131</v>
      </c>
      <c r="BQ239" s="100" t="s">
        <v>198</v>
      </c>
      <c r="BR239" s="104">
        <v>3.5675322124691764</v>
      </c>
      <c r="BS239" s="100"/>
      <c r="BT239" s="120">
        <v>3.5560055636194692</v>
      </c>
      <c r="BU239" s="116"/>
      <c r="BV239" s="120">
        <v>4.951351110004234</v>
      </c>
      <c r="BW239" s="116"/>
      <c r="BX239" s="38"/>
      <c r="BY239" s="55"/>
      <c r="BZ239" s="38"/>
      <c r="CA239" s="55"/>
      <c r="CB239" s="38"/>
      <c r="CC239" s="55"/>
      <c r="CD239" s="38"/>
      <c r="CE239" s="55"/>
      <c r="CF239" s="38"/>
      <c r="CG239" s="55"/>
      <c r="CH239" s="38"/>
      <c r="CI239" s="55"/>
      <c r="CJ239" s="38"/>
      <c r="CK239" s="55"/>
      <c r="CL239" s="156">
        <v>3.9410739057762489</v>
      </c>
      <c r="CM239" s="152"/>
      <c r="CN239" s="156">
        <v>5.9038481029764522</v>
      </c>
      <c r="CO239" s="152"/>
      <c r="CP239" s="156">
        <v>6.176811768883768</v>
      </c>
      <c r="CQ239" s="152"/>
      <c r="CR239" s="173">
        <v>2.472109750055524</v>
      </c>
      <c r="CS239" s="169"/>
      <c r="CT239" s="173">
        <v>5.8975828038884606</v>
      </c>
      <c r="CU239" s="169" t="s">
        <v>48</v>
      </c>
      <c r="CV239" s="173">
        <v>5.4641013660657594</v>
      </c>
      <c r="CW239" s="169" t="s">
        <v>48</v>
      </c>
      <c r="CX239" s="38"/>
      <c r="CY239" s="55"/>
      <c r="CZ239" s="38"/>
      <c r="DA239" s="55"/>
      <c r="DB239" s="72">
        <v>3.9517789043892826</v>
      </c>
      <c r="DC239" s="68"/>
      <c r="DD239" s="72">
        <v>3.5066714874986813</v>
      </c>
      <c r="DE239" s="68"/>
      <c r="DF239" s="72">
        <v>7.0927067195622531</v>
      </c>
      <c r="DG239" s="68" t="s">
        <v>249</v>
      </c>
    </row>
    <row r="240" spans="1:111" outlineLevel="1" x14ac:dyDescent="0.2">
      <c r="A240" s="30"/>
      <c r="B240" s="30"/>
      <c r="E240" s="66"/>
      <c r="G240" s="66"/>
      <c r="I240" s="82"/>
      <c r="K240" s="82"/>
      <c r="M240" s="130"/>
      <c r="O240" s="130"/>
      <c r="Q240" s="98"/>
      <c r="S240" s="98"/>
      <c r="U240" s="98"/>
      <c r="W240" s="114"/>
      <c r="Y240" s="114"/>
      <c r="AA240" s="114"/>
      <c r="AC240" s="150"/>
      <c r="AE240" s="150"/>
      <c r="AG240" s="150"/>
      <c r="AI240" s="150"/>
      <c r="AK240" s="167"/>
      <c r="AM240" s="167"/>
      <c r="AO240" s="54"/>
      <c r="AQ240" s="54"/>
      <c r="AS240" s="54"/>
      <c r="AU240" s="54"/>
      <c r="AW240" s="54"/>
      <c r="AY240" s="54"/>
      <c r="BA240" s="54"/>
      <c r="BC240" s="54"/>
      <c r="BE240" s="66"/>
      <c r="BG240" s="66"/>
      <c r="BI240" s="66"/>
      <c r="BK240" s="66"/>
      <c r="BM240" s="82"/>
      <c r="BO240" s="82"/>
      <c r="BQ240" s="98"/>
      <c r="BS240" s="98"/>
      <c r="BU240" s="114"/>
      <c r="BW240" s="114"/>
      <c r="BY240" s="54"/>
      <c r="CA240" s="54"/>
      <c r="CC240" s="54"/>
      <c r="CE240" s="54"/>
      <c r="CG240" s="54"/>
      <c r="CI240" s="54"/>
      <c r="CK240" s="54"/>
      <c r="CM240" s="150"/>
      <c r="CO240" s="150"/>
      <c r="CQ240" s="150"/>
      <c r="CS240" s="167"/>
      <c r="CU240" s="167"/>
      <c r="CW240" s="167"/>
      <c r="CY240" s="54"/>
      <c r="DA240" s="54"/>
      <c r="DC240" s="66"/>
      <c r="DE240" s="66"/>
      <c r="DG240" s="66"/>
    </row>
    <row r="241" spans="1:111" x14ac:dyDescent="0.2">
      <c r="A241" s="30"/>
      <c r="B241" s="30"/>
      <c r="E241" s="66"/>
      <c r="G241" s="66"/>
      <c r="I241" s="82"/>
      <c r="K241" s="82"/>
      <c r="M241" s="130"/>
      <c r="O241" s="130"/>
      <c r="Q241" s="98"/>
      <c r="S241" s="98"/>
      <c r="U241" s="98"/>
      <c r="W241" s="114"/>
      <c r="Y241" s="114"/>
      <c r="AA241" s="114"/>
      <c r="AC241" s="150"/>
      <c r="AE241" s="150"/>
      <c r="AG241" s="150"/>
      <c r="AI241" s="150"/>
      <c r="AK241" s="167"/>
      <c r="AM241" s="167"/>
      <c r="AO241" s="54"/>
      <c r="AQ241" s="54"/>
      <c r="AS241" s="54"/>
      <c r="AU241" s="54"/>
      <c r="AW241" s="54"/>
      <c r="AY241" s="54"/>
      <c r="BA241" s="54"/>
      <c r="BC241" s="54"/>
      <c r="BE241" s="66"/>
      <c r="BG241" s="66"/>
      <c r="BI241" s="66"/>
      <c r="BK241" s="66"/>
      <c r="BM241" s="82"/>
      <c r="BO241" s="82"/>
      <c r="BQ241" s="98"/>
      <c r="BS241" s="98"/>
      <c r="BU241" s="114"/>
      <c r="BW241" s="114"/>
      <c r="BY241" s="54"/>
      <c r="CA241" s="54"/>
      <c r="CC241" s="54"/>
      <c r="CE241" s="54"/>
      <c r="CG241" s="54"/>
      <c r="CI241" s="54"/>
      <c r="CK241" s="54"/>
      <c r="CM241" s="150"/>
      <c r="CO241" s="150"/>
      <c r="CQ241" s="150"/>
      <c r="CS241" s="167"/>
      <c r="CU241" s="167"/>
      <c r="CW241" s="167"/>
      <c r="CY241" s="54"/>
      <c r="DA241" s="54"/>
      <c r="DC241" s="66"/>
      <c r="DE241" s="66"/>
      <c r="DG241" s="66"/>
    </row>
    <row r="242" spans="1:111" x14ac:dyDescent="0.2">
      <c r="A242" s="28" t="s">
        <v>163</v>
      </c>
      <c r="B242" s="29" t="s">
        <v>164</v>
      </c>
      <c r="E242" s="66"/>
      <c r="G242" s="66"/>
      <c r="I242" s="82"/>
      <c r="K242" s="82"/>
      <c r="M242" s="130"/>
      <c r="O242" s="130"/>
      <c r="Q242" s="98"/>
      <c r="S242" s="98"/>
      <c r="U242" s="98"/>
      <c r="W242" s="114"/>
      <c r="Y242" s="114"/>
      <c r="AA242" s="114"/>
      <c r="AC242" s="150"/>
      <c r="AE242" s="150"/>
      <c r="AG242" s="150"/>
      <c r="AI242" s="150"/>
      <c r="AK242" s="167"/>
      <c r="AM242" s="167"/>
      <c r="AO242" s="54"/>
      <c r="AQ242" s="54"/>
      <c r="AS242" s="54"/>
      <c r="AU242" s="54"/>
      <c r="AW242" s="54"/>
      <c r="AY242" s="54"/>
      <c r="BA242" s="54"/>
      <c r="BC242" s="54"/>
      <c r="BE242" s="66"/>
      <c r="BG242" s="66"/>
      <c r="BI242" s="66"/>
      <c r="BK242" s="66"/>
      <c r="BM242" s="82"/>
      <c r="BO242" s="82"/>
      <c r="BQ242" s="98"/>
      <c r="BS242" s="98"/>
      <c r="BU242" s="114"/>
      <c r="BW242" s="114"/>
      <c r="BY242" s="54"/>
      <c r="CA242" s="54"/>
      <c r="CC242" s="54"/>
      <c r="CE242" s="54"/>
      <c r="CG242" s="54"/>
      <c r="CI242" s="54"/>
      <c r="CK242" s="54"/>
      <c r="CM242" s="150"/>
      <c r="CO242" s="150"/>
      <c r="CQ242" s="150"/>
      <c r="CS242" s="167"/>
      <c r="CU242" s="167"/>
      <c r="CW242" s="167"/>
      <c r="CY242" s="54"/>
      <c r="DA242" s="54"/>
      <c r="DC242" s="66"/>
      <c r="DE242" s="66"/>
      <c r="DG242" s="66"/>
    </row>
    <row r="243" spans="1:111" outlineLevel="1" x14ac:dyDescent="0.2">
      <c r="A243" s="30"/>
      <c r="B243" s="32" t="s">
        <v>63</v>
      </c>
      <c r="C243" s="31">
        <f>697.229271339924+34.7707286600755</f>
        <v>731.99999999999955</v>
      </c>
      <c r="D243" s="67">
        <f>0+0</f>
        <v>0</v>
      </c>
      <c r="E243" s="68"/>
      <c r="F243" s="67">
        <f>697.229271339924+34.7707286600755</f>
        <v>731.99999999999955</v>
      </c>
      <c r="G243" s="68"/>
      <c r="H243" s="83">
        <f>108.389601570209+6.61039842979146</f>
        <v>115.00000000000045</v>
      </c>
      <c r="I243" s="84"/>
      <c r="J243" s="83">
        <f>588.872678023413+28.1273219765872</f>
        <v>617.00000000000011</v>
      </c>
      <c r="K243" s="84"/>
      <c r="L243" s="131"/>
      <c r="M243" s="132"/>
      <c r="N243" s="131"/>
      <c r="O243" s="132"/>
      <c r="P243" s="99">
        <f>197.775455801689+12.2245441983108</f>
        <v>209.9999999999998</v>
      </c>
      <c r="Q243" s="100"/>
      <c r="R243" s="99">
        <f>183.624369897672+9.37563010232844</f>
        <v>193.00000000000045</v>
      </c>
      <c r="S243" s="100"/>
      <c r="T243" s="99">
        <f>202.167219603481+6.83278039651879</f>
        <v>208.99999999999977</v>
      </c>
      <c r="U243" s="100"/>
      <c r="V243" s="115">
        <f>142.903095748811+7.09690425118887</f>
        <v>149.99999999999989</v>
      </c>
      <c r="W243" s="116"/>
      <c r="X243" s="115">
        <f>159.312800786456+8.68719921354355</f>
        <v>167.99999999999955</v>
      </c>
      <c r="Y243" s="116"/>
      <c r="Z243" s="115">
        <f>187.399553476067+6.60044652393256</f>
        <v>193.99999999999957</v>
      </c>
      <c r="AA243" s="116"/>
      <c r="AB243" s="151">
        <f>208.712119511624+8.28788048837572</f>
        <v>216.99999999999972</v>
      </c>
      <c r="AC243" s="152"/>
      <c r="AD243" s="151">
        <f>325.192210296743+17.807789703257</f>
        <v>343</v>
      </c>
      <c r="AE243" s="152"/>
      <c r="AF243" s="151">
        <f>115.004887560678+3.99511243932177</f>
        <v>118.99999999999977</v>
      </c>
      <c r="AG243" s="152"/>
      <c r="AH243" s="151">
        <f>51.6589616511431+1.34103834885692</f>
        <v>53.000000000000021</v>
      </c>
      <c r="AI243" s="152"/>
      <c r="AJ243" s="168">
        <f>285.680783112892+11.319216887108</f>
        <v>297</v>
      </c>
      <c r="AK243" s="169"/>
      <c r="AL243" s="168">
        <f>411.777536847407+23.2224631525931</f>
        <v>435.00000000000011</v>
      </c>
      <c r="AM243" s="169"/>
      <c r="AN243" s="31"/>
      <c r="AO243" s="55"/>
      <c r="AP243" s="31"/>
      <c r="AQ243" s="55"/>
      <c r="AR243" s="31"/>
      <c r="AS243" s="55"/>
      <c r="AT243" s="31"/>
      <c r="AU243" s="55"/>
      <c r="AV243" s="31"/>
      <c r="AW243" s="55"/>
      <c r="AX243" s="31"/>
      <c r="AY243" s="55"/>
      <c r="AZ243" s="31"/>
      <c r="BA243" s="55"/>
      <c r="BB243" s="31"/>
      <c r="BC243" s="55"/>
      <c r="BD243" s="67">
        <f>114.303400105512+3.69659989448833</f>
        <v>118.00000000000033</v>
      </c>
      <c r="BE243" s="68"/>
      <c r="BF243" s="67">
        <f>320.143729237325+8.85627076267514</f>
        <v>329.00000000000011</v>
      </c>
      <c r="BG243" s="68"/>
      <c r="BH243" s="67">
        <f>154.033955500815+4.96604449918459</f>
        <v>158.9999999999996</v>
      </c>
      <c r="BI243" s="68"/>
      <c r="BJ243" s="67">
        <f>116.914459213077+9.08554078692349</f>
        <v>126.00000000000048</v>
      </c>
      <c r="BK243" s="68"/>
      <c r="BL243" s="83">
        <f>437.557569429027+19.4424305709727</f>
        <v>456.99999999999972</v>
      </c>
      <c r="BM243" s="84"/>
      <c r="BN243" s="83">
        <f>224.770174492461+13.2298255075391</f>
        <v>238.00000000000009</v>
      </c>
      <c r="BO243" s="84"/>
      <c r="BP243" s="99">
        <f>305.676105764278+10.3238942357225</f>
        <v>316.00000000000051</v>
      </c>
      <c r="BQ243" s="100"/>
      <c r="BR243" s="99">
        <f>387.334736028857+23.6652639711435</f>
        <v>411.00000000000045</v>
      </c>
      <c r="BS243" s="100"/>
      <c r="BT243" s="115">
        <f>203.733293028276+11.2667069717237</f>
        <v>214.99999999999969</v>
      </c>
      <c r="BU243" s="116"/>
      <c r="BV243" s="115">
        <f>489.286603261412+22.713396738588</f>
        <v>512</v>
      </c>
      <c r="BW243" s="116"/>
      <c r="BX243" s="31"/>
      <c r="BY243" s="55"/>
      <c r="BZ243" s="31"/>
      <c r="CA243" s="55"/>
      <c r="CB243" s="31"/>
      <c r="CC243" s="55"/>
      <c r="CD243" s="31"/>
      <c r="CE243" s="55"/>
      <c r="CF243" s="31"/>
      <c r="CG243" s="55"/>
      <c r="CH243" s="31"/>
      <c r="CI243" s="55"/>
      <c r="CJ243" s="31"/>
      <c r="CK243" s="55"/>
      <c r="CL243" s="151">
        <f>486.495760961447+20.504239038553</f>
        <v>507</v>
      </c>
      <c r="CM243" s="152"/>
      <c r="CN243" s="151">
        <f>130.574243824643+9.42575617535672</f>
        <v>139.99999999999972</v>
      </c>
      <c r="CO243" s="152"/>
      <c r="CP243" s="151">
        <f>102.931344042743+8.06865595725701</f>
        <v>111.00000000000001</v>
      </c>
      <c r="CQ243" s="152"/>
      <c r="CR243" s="168">
        <f>197.775455801689+12.2245441983108</f>
        <v>209.9999999999998</v>
      </c>
      <c r="CS243" s="169"/>
      <c r="CT243" s="168">
        <f>202.167219603481+6.83278039651879</f>
        <v>208.99999999999977</v>
      </c>
      <c r="CU243" s="169"/>
      <c r="CV243" s="168">
        <f>183.624369897672+9.37563010232844</f>
        <v>193.00000000000045</v>
      </c>
      <c r="CW243" s="169"/>
      <c r="CX243" s="31"/>
      <c r="CY243" s="55"/>
      <c r="CZ243" s="31"/>
      <c r="DA243" s="55"/>
      <c r="DB243" s="67">
        <f>189.847824869749+11.1521751302509</f>
        <v>200.99999999999989</v>
      </c>
      <c r="DC243" s="68"/>
      <c r="DD243" s="67">
        <f>301.510371446147+14.4896285538527</f>
        <v>315.99999999999972</v>
      </c>
      <c r="DE243" s="68"/>
      <c r="DF243" s="67">
        <f>205.898931548757+9.10106845124318</f>
        <v>215.00000000000017</v>
      </c>
      <c r="DG243" s="68"/>
    </row>
    <row r="244" spans="1:111" s="35" customFormat="1" outlineLevel="1" x14ac:dyDescent="0.2">
      <c r="A244" s="30"/>
      <c r="B244" s="33"/>
      <c r="C244" s="34" t="s">
        <v>167</v>
      </c>
      <c r="D244" s="69" t="s">
        <v>167</v>
      </c>
      <c r="E244" s="70"/>
      <c r="F244" s="69" t="s">
        <v>167</v>
      </c>
      <c r="G244" s="70"/>
      <c r="H244" s="85" t="s">
        <v>167</v>
      </c>
      <c r="I244" s="86"/>
      <c r="J244" s="85" t="s">
        <v>167</v>
      </c>
      <c r="K244" s="86"/>
      <c r="L244" s="133"/>
      <c r="M244" s="134"/>
      <c r="N244" s="133"/>
      <c r="O244" s="134"/>
      <c r="P244" s="101" t="s">
        <v>167</v>
      </c>
      <c r="Q244" s="102"/>
      <c r="R244" s="101" t="s">
        <v>167</v>
      </c>
      <c r="S244" s="102"/>
      <c r="T244" s="101" t="s">
        <v>167</v>
      </c>
      <c r="U244" s="102"/>
      <c r="V244" s="117" t="s">
        <v>167</v>
      </c>
      <c r="W244" s="118"/>
      <c r="X244" s="117" t="s">
        <v>167</v>
      </c>
      <c r="Y244" s="118"/>
      <c r="Z244" s="117" t="s">
        <v>167</v>
      </c>
      <c r="AA244" s="118"/>
      <c r="AB244" s="153" t="s">
        <v>167</v>
      </c>
      <c r="AC244" s="154"/>
      <c r="AD244" s="153" t="s">
        <v>167</v>
      </c>
      <c r="AE244" s="154"/>
      <c r="AF244" s="153" t="s">
        <v>167</v>
      </c>
      <c r="AG244" s="154"/>
      <c r="AH244" s="153" t="s">
        <v>167</v>
      </c>
      <c r="AI244" s="154"/>
      <c r="AJ244" s="170" t="s">
        <v>167</v>
      </c>
      <c r="AK244" s="171"/>
      <c r="AL244" s="170" t="s">
        <v>167</v>
      </c>
      <c r="AM244" s="171"/>
      <c r="AN244" s="34"/>
      <c r="AO244" s="56"/>
      <c r="AP244" s="34"/>
      <c r="AQ244" s="56"/>
      <c r="AR244" s="34"/>
      <c r="AS244" s="56"/>
      <c r="AT244" s="34"/>
      <c r="AU244" s="56"/>
      <c r="AV244" s="34"/>
      <c r="AW244" s="56"/>
      <c r="AX244" s="34"/>
      <c r="AY244" s="56"/>
      <c r="AZ244" s="34"/>
      <c r="BA244" s="56"/>
      <c r="BB244" s="34"/>
      <c r="BC244" s="56"/>
      <c r="BD244" s="69" t="s">
        <v>167</v>
      </c>
      <c r="BE244" s="70"/>
      <c r="BF244" s="69" t="s">
        <v>167</v>
      </c>
      <c r="BG244" s="70"/>
      <c r="BH244" s="69" t="s">
        <v>167</v>
      </c>
      <c r="BI244" s="70"/>
      <c r="BJ244" s="69" t="s">
        <v>167</v>
      </c>
      <c r="BK244" s="70"/>
      <c r="BL244" s="85" t="s">
        <v>167</v>
      </c>
      <c r="BM244" s="86"/>
      <c r="BN244" s="85" t="s">
        <v>167</v>
      </c>
      <c r="BO244" s="86"/>
      <c r="BP244" s="101" t="s">
        <v>167</v>
      </c>
      <c r="BQ244" s="102"/>
      <c r="BR244" s="101" t="s">
        <v>167</v>
      </c>
      <c r="BS244" s="102"/>
      <c r="BT244" s="117" t="s">
        <v>167</v>
      </c>
      <c r="BU244" s="118"/>
      <c r="BV244" s="117" t="s">
        <v>167</v>
      </c>
      <c r="BW244" s="118"/>
      <c r="BX244" s="34"/>
      <c r="BY244" s="56"/>
      <c r="BZ244" s="34"/>
      <c r="CA244" s="56"/>
      <c r="CB244" s="34"/>
      <c r="CC244" s="56"/>
      <c r="CD244" s="34"/>
      <c r="CE244" s="56"/>
      <c r="CF244" s="34"/>
      <c r="CG244" s="56"/>
      <c r="CH244" s="34"/>
      <c r="CI244" s="56"/>
      <c r="CJ244" s="34"/>
      <c r="CK244" s="56"/>
      <c r="CL244" s="153" t="s">
        <v>167</v>
      </c>
      <c r="CM244" s="154"/>
      <c r="CN244" s="153" t="s">
        <v>167</v>
      </c>
      <c r="CO244" s="154"/>
      <c r="CP244" s="153" t="s">
        <v>167</v>
      </c>
      <c r="CQ244" s="154"/>
      <c r="CR244" s="170" t="s">
        <v>167</v>
      </c>
      <c r="CS244" s="171"/>
      <c r="CT244" s="170" t="s">
        <v>167</v>
      </c>
      <c r="CU244" s="171"/>
      <c r="CV244" s="170" t="s">
        <v>167</v>
      </c>
      <c r="CW244" s="171"/>
      <c r="CX244" s="34"/>
      <c r="CY244" s="56"/>
      <c r="CZ244" s="34"/>
      <c r="DA244" s="56"/>
      <c r="DB244" s="69" t="s">
        <v>167</v>
      </c>
      <c r="DC244" s="70"/>
      <c r="DD244" s="69" t="s">
        <v>167</v>
      </c>
      <c r="DE244" s="70"/>
      <c r="DF244" s="69" t="s">
        <v>167</v>
      </c>
      <c r="DG244" s="70"/>
    </row>
    <row r="245" spans="1:111" outlineLevel="1" x14ac:dyDescent="0.2">
      <c r="A245" s="30"/>
      <c r="B245" s="30"/>
      <c r="E245" s="66"/>
      <c r="G245" s="66"/>
      <c r="I245" s="82"/>
      <c r="K245" s="82"/>
      <c r="M245" s="130"/>
      <c r="O245" s="130"/>
      <c r="Q245" s="98"/>
      <c r="S245" s="98"/>
      <c r="U245" s="98"/>
      <c r="W245" s="114"/>
      <c r="Y245" s="114"/>
      <c r="AA245" s="114"/>
      <c r="AC245" s="150"/>
      <c r="AE245" s="150"/>
      <c r="AG245" s="150"/>
      <c r="AI245" s="150"/>
      <c r="AK245" s="167"/>
      <c r="AM245" s="167"/>
      <c r="AO245" s="54"/>
      <c r="AQ245" s="54"/>
      <c r="AS245" s="54"/>
      <c r="AU245" s="54"/>
      <c r="AW245" s="54"/>
      <c r="AY245" s="54"/>
      <c r="BA245" s="54"/>
      <c r="BC245" s="54"/>
      <c r="BE245" s="66"/>
      <c r="BG245" s="66"/>
      <c r="BI245" s="66"/>
      <c r="BK245" s="66"/>
      <c r="BM245" s="82"/>
      <c r="BO245" s="82"/>
      <c r="BQ245" s="98"/>
      <c r="BS245" s="98"/>
      <c r="BU245" s="114"/>
      <c r="BW245" s="114"/>
      <c r="BY245" s="54"/>
      <c r="CA245" s="54"/>
      <c r="CC245" s="54"/>
      <c r="CE245" s="54"/>
      <c r="CG245" s="54"/>
      <c r="CI245" s="54"/>
      <c r="CK245" s="54"/>
      <c r="CM245" s="150"/>
      <c r="CO245" s="150"/>
      <c r="CQ245" s="150"/>
      <c r="CS245" s="167"/>
      <c r="CU245" s="167"/>
      <c r="CW245" s="167"/>
      <c r="CY245" s="54"/>
      <c r="DA245" s="54"/>
      <c r="DC245" s="66"/>
      <c r="DE245" s="66"/>
      <c r="DG245" s="66"/>
    </row>
    <row r="246" spans="1:111" outlineLevel="1" x14ac:dyDescent="0.2">
      <c r="A246" s="30"/>
      <c r="B246" s="29" t="s">
        <v>92</v>
      </c>
      <c r="C246" s="36">
        <v>38.737700488223645</v>
      </c>
      <c r="D246" s="71">
        <v>0</v>
      </c>
      <c r="E246" s="68"/>
      <c r="F246" s="71">
        <v>38.737700488223645</v>
      </c>
      <c r="G246" s="68"/>
      <c r="H246" s="87">
        <v>77.8778804753033</v>
      </c>
      <c r="I246" s="84" t="s">
        <v>177</v>
      </c>
      <c r="J246" s="87">
        <v>31.396235475821971</v>
      </c>
      <c r="K246" s="84"/>
      <c r="L246" s="135"/>
      <c r="M246" s="132"/>
      <c r="N246" s="135"/>
      <c r="O246" s="132"/>
      <c r="P246" s="103">
        <v>53.660304042991605</v>
      </c>
      <c r="Q246" s="100" t="s">
        <v>250</v>
      </c>
      <c r="R246" s="103">
        <v>35.324244657332351</v>
      </c>
      <c r="S246" s="100"/>
      <c r="T246" s="103">
        <v>29.331406975463572</v>
      </c>
      <c r="U246" s="100"/>
      <c r="V246" s="119">
        <v>39.922421737439876</v>
      </c>
      <c r="W246" s="116" t="s">
        <v>185</v>
      </c>
      <c r="X246" s="119">
        <v>31.234896767454952</v>
      </c>
      <c r="Y246" s="116"/>
      <c r="Z246" s="119">
        <v>25.006945854532255</v>
      </c>
      <c r="AA246" s="116"/>
      <c r="AB246" s="155">
        <v>44.974024279945731</v>
      </c>
      <c r="AC246" s="152" t="s">
        <v>173</v>
      </c>
      <c r="AD246" s="155">
        <v>37.442000806085844</v>
      </c>
      <c r="AE246" s="152"/>
      <c r="AF246" s="155">
        <v>35.890578069733984</v>
      </c>
      <c r="AG246" s="152"/>
      <c r="AH246" s="155">
        <v>28.150057936209187</v>
      </c>
      <c r="AI246" s="152"/>
      <c r="AJ246" s="172">
        <v>38.78192468968885</v>
      </c>
      <c r="AK246" s="169"/>
      <c r="AL246" s="172">
        <v>38.705870689031372</v>
      </c>
      <c r="AM246" s="169"/>
      <c r="AN246" s="36"/>
      <c r="AO246" s="55"/>
      <c r="AP246" s="36"/>
      <c r="AQ246" s="55"/>
      <c r="AR246" s="36"/>
      <c r="AS246" s="55"/>
      <c r="AT246" s="36"/>
      <c r="AU246" s="55"/>
      <c r="AV246" s="36"/>
      <c r="AW246" s="55"/>
      <c r="AX246" s="36"/>
      <c r="AY246" s="55"/>
      <c r="AZ246" s="36"/>
      <c r="BA246" s="55"/>
      <c r="BB246" s="36"/>
      <c r="BC246" s="55"/>
      <c r="BD246" s="71">
        <v>42.413842253253456</v>
      </c>
      <c r="BE246" s="68"/>
      <c r="BF246" s="71">
        <v>37.778678300291894</v>
      </c>
      <c r="BG246" s="68"/>
      <c r="BH246" s="71">
        <v>36.17074567679807</v>
      </c>
      <c r="BI246" s="68"/>
      <c r="BJ246" s="71">
        <v>40.82130155134584</v>
      </c>
      <c r="BK246" s="68"/>
      <c r="BL246" s="87">
        <v>39.707763853976161</v>
      </c>
      <c r="BM246" s="84"/>
      <c r="BN246" s="87">
        <v>38.963294685397621</v>
      </c>
      <c r="BO246" s="84"/>
      <c r="BP246" s="103">
        <v>36.696656651430565</v>
      </c>
      <c r="BQ246" s="100"/>
      <c r="BR246" s="103">
        <v>40.479715090774924</v>
      </c>
      <c r="BS246" s="100"/>
      <c r="BT246" s="119">
        <v>42.516954749746283</v>
      </c>
      <c r="BU246" s="116"/>
      <c r="BV246" s="119">
        <v>37.465881307487116</v>
      </c>
      <c r="BW246" s="116"/>
      <c r="BX246" s="36"/>
      <c r="BY246" s="55"/>
      <c r="BZ246" s="36"/>
      <c r="CA246" s="55"/>
      <c r="CB246" s="36"/>
      <c r="CC246" s="55"/>
      <c r="CD246" s="36"/>
      <c r="CE246" s="55"/>
      <c r="CF246" s="36"/>
      <c r="CG246" s="55"/>
      <c r="CH246" s="36"/>
      <c r="CI246" s="55"/>
      <c r="CJ246" s="36"/>
      <c r="CK246" s="55"/>
      <c r="CL246" s="155">
        <v>34.64692373711744</v>
      </c>
      <c r="CM246" s="152"/>
      <c r="CN246" s="155">
        <v>43.004341860421405</v>
      </c>
      <c r="CO246" s="152"/>
      <c r="CP246" s="155">
        <v>48.678057673038978</v>
      </c>
      <c r="CQ246" s="152" t="s">
        <v>201</v>
      </c>
      <c r="CR246" s="172">
        <v>53.660304042991605</v>
      </c>
      <c r="CS246" s="169" t="s">
        <v>243</v>
      </c>
      <c r="CT246" s="172">
        <v>29.331406975463572</v>
      </c>
      <c r="CU246" s="169"/>
      <c r="CV246" s="172">
        <v>35.324244657332351</v>
      </c>
      <c r="CW246" s="169"/>
      <c r="CX246" s="36"/>
      <c r="CY246" s="55"/>
      <c r="CZ246" s="36"/>
      <c r="DA246" s="55"/>
      <c r="DB246" s="71">
        <v>49.523920943894062</v>
      </c>
      <c r="DC246" s="68" t="s">
        <v>245</v>
      </c>
      <c r="DD246" s="71">
        <v>35.557846047152317</v>
      </c>
      <c r="DE246" s="68"/>
      <c r="DF246" s="71">
        <v>33.354260114508399</v>
      </c>
      <c r="DG246" s="68"/>
    </row>
    <row r="247" spans="1:111" outlineLevel="1" x14ac:dyDescent="0.2">
      <c r="A247" s="30"/>
      <c r="B247" s="37" t="s">
        <v>93</v>
      </c>
      <c r="C247" s="38">
        <v>16.438483793592521</v>
      </c>
      <c r="D247" s="72">
        <v>0</v>
      </c>
      <c r="E247" s="68"/>
      <c r="F247" s="72">
        <v>16.438483793592521</v>
      </c>
      <c r="G247" s="68"/>
      <c r="H247" s="88">
        <v>50.267613259917006</v>
      </c>
      <c r="I247" s="84" t="s">
        <v>177</v>
      </c>
      <c r="J247" s="88">
        <v>10.093204582842569</v>
      </c>
      <c r="K247" s="84"/>
      <c r="L247" s="136"/>
      <c r="M247" s="132"/>
      <c r="N247" s="136"/>
      <c r="O247" s="132"/>
      <c r="P247" s="104">
        <v>30.890583816833885</v>
      </c>
      <c r="Q247" s="100" t="s">
        <v>250</v>
      </c>
      <c r="R247" s="104">
        <v>15.45050702149522</v>
      </c>
      <c r="S247" s="100" t="s">
        <v>182</v>
      </c>
      <c r="T247" s="104">
        <v>6.5372026656001179</v>
      </c>
      <c r="U247" s="100"/>
      <c r="V247" s="120">
        <v>16.471728304755683</v>
      </c>
      <c r="W247" s="116" t="s">
        <v>185</v>
      </c>
      <c r="X247" s="120">
        <v>11.76371276913849</v>
      </c>
      <c r="Y247" s="116" t="s">
        <v>185</v>
      </c>
      <c r="Z247" s="120">
        <v>4.5943387260861366</v>
      </c>
      <c r="AA247" s="116"/>
      <c r="AB247" s="156">
        <v>17.652418728703545</v>
      </c>
      <c r="AC247" s="152"/>
      <c r="AD247" s="156">
        <v>16.491868307098937</v>
      </c>
      <c r="AE247" s="152"/>
      <c r="AF247" s="156">
        <v>15.239082614161971</v>
      </c>
      <c r="AG247" s="152"/>
      <c r="AH247" s="156">
        <v>13.562750907947672</v>
      </c>
      <c r="AI247" s="152"/>
      <c r="AJ247" s="173">
        <v>16.563528834961406</v>
      </c>
      <c r="AK247" s="169"/>
      <c r="AL247" s="173">
        <v>16.348484236225904</v>
      </c>
      <c r="AM247" s="169"/>
      <c r="AN247" s="38"/>
      <c r="AO247" s="55"/>
      <c r="AP247" s="38"/>
      <c r="AQ247" s="55"/>
      <c r="AR247" s="38"/>
      <c r="AS247" s="55"/>
      <c r="AT247" s="38"/>
      <c r="AU247" s="55"/>
      <c r="AV247" s="38"/>
      <c r="AW247" s="55"/>
      <c r="AX247" s="38"/>
      <c r="AY247" s="55"/>
      <c r="AZ247" s="38"/>
      <c r="BA247" s="55"/>
      <c r="BB247" s="38"/>
      <c r="BC247" s="55"/>
      <c r="BD247" s="72">
        <v>12.63554808809492</v>
      </c>
      <c r="BE247" s="68"/>
      <c r="BF247" s="72">
        <v>16.404624612635537</v>
      </c>
      <c r="BG247" s="68"/>
      <c r="BH247" s="72">
        <v>19.149132440405815</v>
      </c>
      <c r="BI247" s="68"/>
      <c r="BJ247" s="72">
        <v>16.342655764384823</v>
      </c>
      <c r="BK247" s="68"/>
      <c r="BL247" s="88">
        <v>17.667309031418363</v>
      </c>
      <c r="BM247" s="84"/>
      <c r="BN247" s="88">
        <v>14.623601824018976</v>
      </c>
      <c r="BO247" s="84"/>
      <c r="BP247" s="104">
        <v>15.768370928510761</v>
      </c>
      <c r="BQ247" s="100"/>
      <c r="BR247" s="104">
        <v>16.901227736360934</v>
      </c>
      <c r="BS247" s="100"/>
      <c r="BT247" s="120">
        <v>18.189148602184027</v>
      </c>
      <c r="BU247" s="116"/>
      <c r="BV247" s="120">
        <v>15.833537343375927</v>
      </c>
      <c r="BW247" s="116"/>
      <c r="BX247" s="38"/>
      <c r="BY247" s="55"/>
      <c r="BZ247" s="38"/>
      <c r="CA247" s="55"/>
      <c r="CB247" s="38"/>
      <c r="CC247" s="55"/>
      <c r="CD247" s="38"/>
      <c r="CE247" s="55"/>
      <c r="CF247" s="38"/>
      <c r="CG247" s="55"/>
      <c r="CH247" s="38"/>
      <c r="CI247" s="55"/>
      <c r="CJ247" s="38"/>
      <c r="CK247" s="55"/>
      <c r="CL247" s="156">
        <v>13.713002956723331</v>
      </c>
      <c r="CM247" s="152"/>
      <c r="CN247" s="156">
        <v>23.689265642914872</v>
      </c>
      <c r="CO247" s="152" t="s">
        <v>201</v>
      </c>
      <c r="CP247" s="156">
        <v>17.906891544141988</v>
      </c>
      <c r="CQ247" s="152"/>
      <c r="CR247" s="173">
        <v>30.890583816833885</v>
      </c>
      <c r="CS247" s="169" t="s">
        <v>243</v>
      </c>
      <c r="CT247" s="173">
        <v>6.5372026656001179</v>
      </c>
      <c r="CU247" s="169"/>
      <c r="CV247" s="173">
        <v>15.45050702149522</v>
      </c>
      <c r="CW247" s="169" t="s">
        <v>204</v>
      </c>
      <c r="CX247" s="38"/>
      <c r="CY247" s="55"/>
      <c r="CZ247" s="38"/>
      <c r="DA247" s="55"/>
      <c r="DB247" s="72">
        <v>25.279334893214518</v>
      </c>
      <c r="DC247" s="68" t="s">
        <v>245</v>
      </c>
      <c r="DD247" s="72">
        <v>15.403810487270276</v>
      </c>
      <c r="DE247" s="68"/>
      <c r="DF247" s="72">
        <v>9.7470519531559923</v>
      </c>
      <c r="DG247" s="68"/>
    </row>
    <row r="248" spans="1:111" outlineLevel="1" x14ac:dyDescent="0.2">
      <c r="A248" s="30"/>
      <c r="B248" s="37" t="s">
        <v>94</v>
      </c>
      <c r="C248" s="38">
        <v>22.299216694631124</v>
      </c>
      <c r="D248" s="72">
        <v>0</v>
      </c>
      <c r="E248" s="68"/>
      <c r="F248" s="72">
        <v>22.299216694631124</v>
      </c>
      <c r="G248" s="68"/>
      <c r="H248" s="88">
        <v>27.610267215386294</v>
      </c>
      <c r="I248" s="84"/>
      <c r="J248" s="88">
        <v>21.3030308929794</v>
      </c>
      <c r="K248" s="84"/>
      <c r="L248" s="136"/>
      <c r="M248" s="132"/>
      <c r="N248" s="136"/>
      <c r="O248" s="132"/>
      <c r="P248" s="104">
        <v>22.76972022615772</v>
      </c>
      <c r="Q248" s="100"/>
      <c r="R248" s="104">
        <v>19.873737635837127</v>
      </c>
      <c r="S248" s="100"/>
      <c r="T248" s="104">
        <v>22.794204309863456</v>
      </c>
      <c r="U248" s="100"/>
      <c r="V248" s="120">
        <v>23.450693432684194</v>
      </c>
      <c r="W248" s="116"/>
      <c r="X248" s="120">
        <v>19.471183998316462</v>
      </c>
      <c r="Y248" s="116"/>
      <c r="Z248" s="120">
        <v>20.412607128446119</v>
      </c>
      <c r="AA248" s="116"/>
      <c r="AB248" s="156">
        <v>27.321605551242182</v>
      </c>
      <c r="AC248" s="152"/>
      <c r="AD248" s="156">
        <v>20.950132498986903</v>
      </c>
      <c r="AE248" s="152"/>
      <c r="AF248" s="156">
        <v>20.651495455572014</v>
      </c>
      <c r="AG248" s="152"/>
      <c r="AH248" s="156">
        <v>14.587307028261515</v>
      </c>
      <c r="AI248" s="152"/>
      <c r="AJ248" s="173">
        <v>22.218395854727444</v>
      </c>
      <c r="AK248" s="169"/>
      <c r="AL248" s="173">
        <v>22.357386452805471</v>
      </c>
      <c r="AM248" s="169"/>
      <c r="AN248" s="38"/>
      <c r="AO248" s="55"/>
      <c r="AP248" s="38"/>
      <c r="AQ248" s="55"/>
      <c r="AR248" s="38"/>
      <c r="AS248" s="55"/>
      <c r="AT248" s="38"/>
      <c r="AU248" s="55"/>
      <c r="AV248" s="38"/>
      <c r="AW248" s="55"/>
      <c r="AX248" s="38"/>
      <c r="AY248" s="55"/>
      <c r="AZ248" s="38"/>
      <c r="BA248" s="55"/>
      <c r="BB248" s="38"/>
      <c r="BC248" s="55"/>
      <c r="BD248" s="72">
        <v>29.778294165158538</v>
      </c>
      <c r="BE248" s="68" t="s">
        <v>193</v>
      </c>
      <c r="BF248" s="72">
        <v>21.374053687656357</v>
      </c>
      <c r="BG248" s="68"/>
      <c r="BH248" s="72">
        <v>17.021613236392255</v>
      </c>
      <c r="BI248" s="68"/>
      <c r="BJ248" s="72">
        <v>24.478645786961021</v>
      </c>
      <c r="BK248" s="68"/>
      <c r="BL248" s="88">
        <v>22.040454822557798</v>
      </c>
      <c r="BM248" s="84"/>
      <c r="BN248" s="88">
        <v>24.339692861378648</v>
      </c>
      <c r="BO248" s="84"/>
      <c r="BP248" s="104">
        <v>20.928285722919803</v>
      </c>
      <c r="BQ248" s="100"/>
      <c r="BR248" s="104">
        <v>23.578487354413994</v>
      </c>
      <c r="BS248" s="100"/>
      <c r="BT248" s="120">
        <v>24.327806147562256</v>
      </c>
      <c r="BU248" s="116"/>
      <c r="BV248" s="120">
        <v>21.63234396411119</v>
      </c>
      <c r="BW248" s="116"/>
      <c r="BX248" s="38"/>
      <c r="BY248" s="55"/>
      <c r="BZ248" s="38"/>
      <c r="CA248" s="55"/>
      <c r="CB248" s="38"/>
      <c r="CC248" s="55"/>
      <c r="CD248" s="38"/>
      <c r="CE248" s="55"/>
      <c r="CF248" s="38"/>
      <c r="CG248" s="55"/>
      <c r="CH248" s="38"/>
      <c r="CI248" s="55"/>
      <c r="CJ248" s="38"/>
      <c r="CK248" s="55"/>
      <c r="CL248" s="156">
        <v>20.933920780394111</v>
      </c>
      <c r="CM248" s="152"/>
      <c r="CN248" s="156">
        <v>19.315076217506533</v>
      </c>
      <c r="CO248" s="152"/>
      <c r="CP248" s="156">
        <v>30.771166128896994</v>
      </c>
      <c r="CQ248" s="152" t="s">
        <v>262</v>
      </c>
      <c r="CR248" s="173">
        <v>22.76972022615772</v>
      </c>
      <c r="CS248" s="169"/>
      <c r="CT248" s="173">
        <v>22.794204309863456</v>
      </c>
      <c r="CU248" s="169"/>
      <c r="CV248" s="173">
        <v>19.873737635837127</v>
      </c>
      <c r="CW248" s="169"/>
      <c r="CX248" s="38"/>
      <c r="CY248" s="55"/>
      <c r="CZ248" s="38"/>
      <c r="DA248" s="55"/>
      <c r="DB248" s="72">
        <v>24.244586050679544</v>
      </c>
      <c r="DC248" s="68"/>
      <c r="DD248" s="72">
        <v>20.15403555988204</v>
      </c>
      <c r="DE248" s="68"/>
      <c r="DF248" s="72">
        <v>23.607208161352403</v>
      </c>
      <c r="DG248" s="68"/>
    </row>
    <row r="249" spans="1:111" outlineLevel="1" x14ac:dyDescent="0.2">
      <c r="A249" s="30"/>
      <c r="B249" s="29"/>
      <c r="E249" s="66"/>
      <c r="G249" s="66"/>
      <c r="I249" s="82"/>
      <c r="K249" s="82"/>
      <c r="M249" s="130"/>
      <c r="O249" s="130"/>
      <c r="Q249" s="98"/>
      <c r="S249" s="98"/>
      <c r="U249" s="98"/>
      <c r="W249" s="114"/>
      <c r="Y249" s="114"/>
      <c r="AA249" s="114"/>
      <c r="AC249" s="150"/>
      <c r="AE249" s="150"/>
      <c r="AG249" s="150"/>
      <c r="AI249" s="150"/>
      <c r="AK249" s="167"/>
      <c r="AM249" s="167"/>
      <c r="AO249" s="54"/>
      <c r="AQ249" s="54"/>
      <c r="AS249" s="54"/>
      <c r="AU249" s="54"/>
      <c r="AW249" s="54"/>
      <c r="AY249" s="54"/>
      <c r="BA249" s="54"/>
      <c r="BC249" s="54"/>
      <c r="BE249" s="66"/>
      <c r="BG249" s="66"/>
      <c r="BI249" s="66"/>
      <c r="BK249" s="66"/>
      <c r="BM249" s="82"/>
      <c r="BO249" s="82"/>
      <c r="BQ249" s="98"/>
      <c r="BS249" s="98"/>
      <c r="BU249" s="114"/>
      <c r="BW249" s="114"/>
      <c r="BY249" s="54"/>
      <c r="CA249" s="54"/>
      <c r="CC249" s="54"/>
      <c r="CE249" s="54"/>
      <c r="CG249" s="54"/>
      <c r="CI249" s="54"/>
      <c r="CK249" s="54"/>
      <c r="CM249" s="150"/>
      <c r="CO249" s="150"/>
      <c r="CQ249" s="150"/>
      <c r="CS249" s="167"/>
      <c r="CU249" s="167"/>
      <c r="CW249" s="167"/>
      <c r="CY249" s="54"/>
      <c r="DA249" s="54"/>
      <c r="DC249" s="66"/>
      <c r="DE249" s="66"/>
      <c r="DG249" s="66"/>
    </row>
    <row r="250" spans="1:111" outlineLevel="1" x14ac:dyDescent="0.2">
      <c r="A250" s="30"/>
      <c r="B250" s="32" t="s">
        <v>95</v>
      </c>
      <c r="C250" s="38">
        <v>42.1096785986241</v>
      </c>
      <c r="D250" s="72">
        <v>0</v>
      </c>
      <c r="E250" s="68"/>
      <c r="F250" s="72">
        <v>42.1096785986241</v>
      </c>
      <c r="G250" s="68"/>
      <c r="H250" s="88">
        <v>15.88579643055462</v>
      </c>
      <c r="I250" s="84"/>
      <c r="J250" s="88">
        <v>47.028452949937218</v>
      </c>
      <c r="K250" s="84" t="s">
        <v>176</v>
      </c>
      <c r="L250" s="136"/>
      <c r="M250" s="132"/>
      <c r="N250" s="136"/>
      <c r="O250" s="132"/>
      <c r="P250" s="104">
        <v>29.441932951847996</v>
      </c>
      <c r="Q250" s="100"/>
      <c r="R250" s="104">
        <v>46.671043208402956</v>
      </c>
      <c r="S250" s="100" t="s">
        <v>180</v>
      </c>
      <c r="T250" s="104">
        <v>46.30388536914775</v>
      </c>
      <c r="U250" s="100" t="s">
        <v>180</v>
      </c>
      <c r="V250" s="120">
        <v>39.237588783007737</v>
      </c>
      <c r="W250" s="116"/>
      <c r="X250" s="120">
        <v>48.617769991552592</v>
      </c>
      <c r="Y250" s="116"/>
      <c r="Z250" s="120">
        <v>49.32719986248506</v>
      </c>
      <c r="AA250" s="116"/>
      <c r="AB250" s="156">
        <v>39.506872867947656</v>
      </c>
      <c r="AC250" s="152"/>
      <c r="AD250" s="156">
        <v>41.796703833739855</v>
      </c>
      <c r="AE250" s="152"/>
      <c r="AF250" s="156">
        <v>46.173202190145766</v>
      </c>
      <c r="AG250" s="152"/>
      <c r="AH250" s="156">
        <v>46.267583271471629</v>
      </c>
      <c r="AI250" s="152"/>
      <c r="AJ250" s="173">
        <v>40.171918872884881</v>
      </c>
      <c r="AK250" s="169"/>
      <c r="AL250" s="173">
        <v>43.504356193914766</v>
      </c>
      <c r="AM250" s="169"/>
      <c r="AN250" s="38"/>
      <c r="AO250" s="55"/>
      <c r="AP250" s="38"/>
      <c r="AQ250" s="55"/>
      <c r="AR250" s="38"/>
      <c r="AS250" s="55"/>
      <c r="AT250" s="38"/>
      <c r="AU250" s="55"/>
      <c r="AV250" s="38"/>
      <c r="AW250" s="55"/>
      <c r="AX250" s="38"/>
      <c r="AY250" s="55"/>
      <c r="AZ250" s="38"/>
      <c r="BA250" s="55"/>
      <c r="BB250" s="38"/>
      <c r="BC250" s="55"/>
      <c r="BD250" s="72">
        <v>33.852101087149009</v>
      </c>
      <c r="BE250" s="68"/>
      <c r="BF250" s="72">
        <v>41.726654907294133</v>
      </c>
      <c r="BG250" s="68"/>
      <c r="BH250" s="72">
        <v>49.859206570788182</v>
      </c>
      <c r="BI250" s="68" t="s">
        <v>191</v>
      </c>
      <c r="BJ250" s="72">
        <v>40.339409098532585</v>
      </c>
      <c r="BK250" s="68"/>
      <c r="BL250" s="88">
        <v>39.927061517484972</v>
      </c>
      <c r="BM250" s="84"/>
      <c r="BN250" s="88">
        <v>45.210191603787088</v>
      </c>
      <c r="BO250" s="84"/>
      <c r="BP250" s="104">
        <v>42.855126705703157</v>
      </c>
      <c r="BQ250" s="100"/>
      <c r="BR250" s="104">
        <v>41.643730355965936</v>
      </c>
      <c r="BS250" s="100"/>
      <c r="BT250" s="120">
        <v>38.523035012072818</v>
      </c>
      <c r="BU250" s="116"/>
      <c r="BV250" s="120">
        <v>43.371952169448093</v>
      </c>
      <c r="BW250" s="116"/>
      <c r="BX250" s="38"/>
      <c r="BY250" s="55"/>
      <c r="BZ250" s="38"/>
      <c r="CA250" s="55"/>
      <c r="CB250" s="38"/>
      <c r="CC250" s="55"/>
      <c r="CD250" s="38"/>
      <c r="CE250" s="55"/>
      <c r="CF250" s="38"/>
      <c r="CG250" s="55"/>
      <c r="CH250" s="38"/>
      <c r="CI250" s="55"/>
      <c r="CJ250" s="38"/>
      <c r="CK250" s="55"/>
      <c r="CL250" s="156">
        <v>47.516621337517805</v>
      </c>
      <c r="CM250" s="152" t="s">
        <v>246</v>
      </c>
      <c r="CN250" s="156">
        <v>34.251376802060037</v>
      </c>
      <c r="CO250" s="152"/>
      <c r="CP250" s="156">
        <v>27.911614500801139</v>
      </c>
      <c r="CQ250" s="152"/>
      <c r="CR250" s="173">
        <v>29.441932951847996</v>
      </c>
      <c r="CS250" s="169"/>
      <c r="CT250" s="173">
        <v>46.30388536914775</v>
      </c>
      <c r="CU250" s="169" t="s">
        <v>48</v>
      </c>
      <c r="CV250" s="173">
        <v>46.671043208402956</v>
      </c>
      <c r="CW250" s="169" t="s">
        <v>48</v>
      </c>
      <c r="CX250" s="38"/>
      <c r="CY250" s="55"/>
      <c r="CZ250" s="38"/>
      <c r="DA250" s="55"/>
      <c r="DB250" s="72">
        <v>34.184696569920845</v>
      </c>
      <c r="DC250" s="68"/>
      <c r="DD250" s="72">
        <v>44.5404224048253</v>
      </c>
      <c r="DE250" s="68" t="s">
        <v>206</v>
      </c>
      <c r="DF250" s="72">
        <v>45.928180394081586</v>
      </c>
      <c r="DG250" s="68" t="s">
        <v>206</v>
      </c>
    </row>
    <row r="251" spans="1:111" outlineLevel="1" x14ac:dyDescent="0.2">
      <c r="A251" s="30"/>
      <c r="B251" s="29"/>
      <c r="E251" s="66"/>
      <c r="G251" s="66"/>
      <c r="I251" s="82"/>
      <c r="K251" s="82"/>
      <c r="M251" s="130"/>
      <c r="O251" s="130"/>
      <c r="Q251" s="98"/>
      <c r="S251" s="98"/>
      <c r="U251" s="98"/>
      <c r="W251" s="114"/>
      <c r="Y251" s="114"/>
      <c r="AA251" s="114"/>
      <c r="AC251" s="150"/>
      <c r="AE251" s="150"/>
      <c r="AG251" s="150"/>
      <c r="AI251" s="150"/>
      <c r="AK251" s="167"/>
      <c r="AM251" s="167"/>
      <c r="AO251" s="54"/>
      <c r="AQ251" s="54"/>
      <c r="AS251" s="54"/>
      <c r="AU251" s="54"/>
      <c r="AW251" s="54"/>
      <c r="AY251" s="54"/>
      <c r="BA251" s="54"/>
      <c r="BC251" s="54"/>
      <c r="BE251" s="66"/>
      <c r="BG251" s="66"/>
      <c r="BI251" s="66"/>
      <c r="BK251" s="66"/>
      <c r="BM251" s="82"/>
      <c r="BO251" s="82"/>
      <c r="BQ251" s="98"/>
      <c r="BS251" s="98"/>
      <c r="BU251" s="114"/>
      <c r="BW251" s="114"/>
      <c r="BY251" s="54"/>
      <c r="CA251" s="54"/>
      <c r="CC251" s="54"/>
      <c r="CE251" s="54"/>
      <c r="CG251" s="54"/>
      <c r="CI251" s="54"/>
      <c r="CK251" s="54"/>
      <c r="CM251" s="150"/>
      <c r="CO251" s="150"/>
      <c r="CQ251" s="150"/>
      <c r="CS251" s="167"/>
      <c r="CU251" s="167"/>
      <c r="CW251" s="167"/>
      <c r="CY251" s="54"/>
      <c r="DA251" s="54"/>
      <c r="DC251" s="66"/>
      <c r="DE251" s="66"/>
      <c r="DG251" s="66"/>
    </row>
    <row r="252" spans="1:111" outlineLevel="1" x14ac:dyDescent="0.2">
      <c r="A252" s="30"/>
      <c r="B252" s="29" t="s">
        <v>96</v>
      </c>
      <c r="C252" s="36">
        <v>19.152620913152258</v>
      </c>
      <c r="D252" s="71">
        <v>0</v>
      </c>
      <c r="E252" s="68"/>
      <c r="F252" s="71">
        <v>19.152620913152258</v>
      </c>
      <c r="G252" s="68"/>
      <c r="H252" s="87">
        <v>6.2363230941420902</v>
      </c>
      <c r="I252" s="84"/>
      <c r="J252" s="87">
        <v>21.575311574240818</v>
      </c>
      <c r="K252" s="84" t="s">
        <v>176</v>
      </c>
      <c r="L252" s="135"/>
      <c r="M252" s="132"/>
      <c r="N252" s="135"/>
      <c r="O252" s="132"/>
      <c r="P252" s="103">
        <v>16.897763005160396</v>
      </c>
      <c r="Q252" s="100"/>
      <c r="R252" s="103">
        <v>18.004712134264686</v>
      </c>
      <c r="S252" s="100"/>
      <c r="T252" s="103">
        <v>24.364707655388685</v>
      </c>
      <c r="U252" s="100"/>
      <c r="V252" s="119">
        <v>20.839989479552386</v>
      </c>
      <c r="W252" s="116"/>
      <c r="X252" s="119">
        <v>20.147333240992456</v>
      </c>
      <c r="Y252" s="116"/>
      <c r="Z252" s="119">
        <v>25.665854282982682</v>
      </c>
      <c r="AA252" s="116"/>
      <c r="AB252" s="155">
        <v>15.519102852106627</v>
      </c>
      <c r="AC252" s="152"/>
      <c r="AD252" s="155">
        <v>20.761295360174309</v>
      </c>
      <c r="AE252" s="152"/>
      <c r="AF252" s="155">
        <v>17.936219740120247</v>
      </c>
      <c r="AG252" s="152"/>
      <c r="AH252" s="155">
        <v>25.582358792319194</v>
      </c>
      <c r="AI252" s="152"/>
      <c r="AJ252" s="172">
        <v>21.046156437426269</v>
      </c>
      <c r="AK252" s="169"/>
      <c r="AL252" s="172">
        <v>17.789773117053858</v>
      </c>
      <c r="AM252" s="169"/>
      <c r="AN252" s="36"/>
      <c r="AO252" s="55"/>
      <c r="AP252" s="36"/>
      <c r="AQ252" s="55"/>
      <c r="AR252" s="36"/>
      <c r="AS252" s="55"/>
      <c r="AT252" s="36"/>
      <c r="AU252" s="55"/>
      <c r="AV252" s="36"/>
      <c r="AW252" s="55"/>
      <c r="AX252" s="36"/>
      <c r="AY252" s="55"/>
      <c r="AZ252" s="36"/>
      <c r="BA252" s="55"/>
      <c r="BB252" s="36"/>
      <c r="BC252" s="55"/>
      <c r="BD252" s="71">
        <v>23.734056659597535</v>
      </c>
      <c r="BE252" s="68" t="s">
        <v>193</v>
      </c>
      <c r="BF252" s="71">
        <v>20.494666792413973</v>
      </c>
      <c r="BG252" s="68"/>
      <c r="BH252" s="71">
        <v>13.970047752413747</v>
      </c>
      <c r="BI252" s="68"/>
      <c r="BJ252" s="71">
        <v>18.839289350121579</v>
      </c>
      <c r="BK252" s="68"/>
      <c r="BL252" s="87">
        <v>20.365174628538867</v>
      </c>
      <c r="BM252" s="84"/>
      <c r="BN252" s="87">
        <v>15.826513710815288</v>
      </c>
      <c r="BO252" s="84"/>
      <c r="BP252" s="103">
        <v>20.448216642866281</v>
      </c>
      <c r="BQ252" s="100"/>
      <c r="BR252" s="103">
        <v>17.876554553259133</v>
      </c>
      <c r="BS252" s="100"/>
      <c r="BT252" s="119">
        <v>18.960010238180896</v>
      </c>
      <c r="BU252" s="116"/>
      <c r="BV252" s="119">
        <v>19.162166523064794</v>
      </c>
      <c r="BW252" s="116"/>
      <c r="BX252" s="36"/>
      <c r="BY252" s="55"/>
      <c r="BZ252" s="36"/>
      <c r="CA252" s="55"/>
      <c r="CB252" s="36"/>
      <c r="CC252" s="55"/>
      <c r="CD252" s="36"/>
      <c r="CE252" s="55"/>
      <c r="CF252" s="36"/>
      <c r="CG252" s="55"/>
      <c r="CH252" s="36"/>
      <c r="CI252" s="55"/>
      <c r="CJ252" s="36"/>
      <c r="CK252" s="55"/>
      <c r="CL252" s="155">
        <v>17.836454925364759</v>
      </c>
      <c r="CM252" s="152"/>
      <c r="CN252" s="155">
        <v>22.744281337518562</v>
      </c>
      <c r="CO252" s="152"/>
      <c r="CP252" s="155">
        <v>23.410327826159882</v>
      </c>
      <c r="CQ252" s="152"/>
      <c r="CR252" s="172">
        <v>16.897763005160396</v>
      </c>
      <c r="CS252" s="169"/>
      <c r="CT252" s="172">
        <v>24.364707655388685</v>
      </c>
      <c r="CU252" s="169"/>
      <c r="CV252" s="172">
        <v>18.004712134264686</v>
      </c>
      <c r="CW252" s="169"/>
      <c r="CX252" s="36"/>
      <c r="CY252" s="55"/>
      <c r="CZ252" s="36"/>
      <c r="DA252" s="55"/>
      <c r="DB252" s="71">
        <v>16.291382486185096</v>
      </c>
      <c r="DC252" s="68"/>
      <c r="DD252" s="71">
        <v>19.901731548022383</v>
      </c>
      <c r="DE252" s="68"/>
      <c r="DF252" s="71">
        <v>20.717559491410025</v>
      </c>
      <c r="DG252" s="68"/>
    </row>
    <row r="253" spans="1:111" outlineLevel="1" x14ac:dyDescent="0.2">
      <c r="A253" s="30"/>
      <c r="B253" s="37" t="s">
        <v>97</v>
      </c>
      <c r="C253" s="38">
        <v>5.6716483565723852</v>
      </c>
      <c r="D253" s="72">
        <v>0</v>
      </c>
      <c r="E253" s="68"/>
      <c r="F253" s="72">
        <v>5.6716483565723852</v>
      </c>
      <c r="G253" s="68"/>
      <c r="H253" s="88">
        <v>3.8024609348646283</v>
      </c>
      <c r="I253" s="84"/>
      <c r="J253" s="88">
        <v>6.0222490452411312</v>
      </c>
      <c r="K253" s="84"/>
      <c r="L253" s="136"/>
      <c r="M253" s="132"/>
      <c r="N253" s="136"/>
      <c r="O253" s="132"/>
      <c r="P253" s="104">
        <v>6.396966213965249</v>
      </c>
      <c r="Q253" s="100"/>
      <c r="R253" s="104">
        <v>4.8059617839683639</v>
      </c>
      <c r="S253" s="100"/>
      <c r="T253" s="104">
        <v>5.4843717696794752</v>
      </c>
      <c r="U253" s="100"/>
      <c r="V253" s="120">
        <v>7.2333431265405057</v>
      </c>
      <c r="W253" s="116"/>
      <c r="X253" s="120">
        <v>5.0280797516069988</v>
      </c>
      <c r="Y253" s="116"/>
      <c r="Z253" s="120">
        <v>5.8962645064496479</v>
      </c>
      <c r="AA253" s="116"/>
      <c r="AB253" s="156">
        <v>5.7186054313875658</v>
      </c>
      <c r="AC253" s="152"/>
      <c r="AD253" s="156">
        <v>5.0609341590405164</v>
      </c>
      <c r="AE253" s="152"/>
      <c r="AF253" s="156">
        <v>7.1907948436613633</v>
      </c>
      <c r="AG253" s="152"/>
      <c r="AH253" s="156">
        <v>6.5513129753976154</v>
      </c>
      <c r="AI253" s="152"/>
      <c r="AJ253" s="173">
        <v>6.5402159202856307</v>
      </c>
      <c r="AK253" s="169"/>
      <c r="AL253" s="173">
        <v>5.0465080437583465</v>
      </c>
      <c r="AM253" s="169"/>
      <c r="AN253" s="38"/>
      <c r="AO253" s="55"/>
      <c r="AP253" s="38"/>
      <c r="AQ253" s="55"/>
      <c r="AR253" s="38"/>
      <c r="AS253" s="55"/>
      <c r="AT253" s="38"/>
      <c r="AU253" s="55"/>
      <c r="AV253" s="38"/>
      <c r="AW253" s="55"/>
      <c r="AX253" s="38"/>
      <c r="AY253" s="55"/>
      <c r="AZ253" s="38"/>
      <c r="BA253" s="55"/>
      <c r="BB253" s="38"/>
      <c r="BC253" s="55"/>
      <c r="BD253" s="72">
        <v>9.2303572431248728</v>
      </c>
      <c r="BE253" s="68" t="s">
        <v>194</v>
      </c>
      <c r="BF253" s="72">
        <v>6.3096043058898728</v>
      </c>
      <c r="BG253" s="68"/>
      <c r="BH253" s="72">
        <v>4.4322343680760019</v>
      </c>
      <c r="BI253" s="68"/>
      <c r="BJ253" s="72">
        <v>2.9722452861572908</v>
      </c>
      <c r="BK253" s="68"/>
      <c r="BL253" s="88">
        <v>5.6077292582987601</v>
      </c>
      <c r="BM253" s="84"/>
      <c r="BN253" s="88">
        <v>5.7499539905527266</v>
      </c>
      <c r="BO253" s="84"/>
      <c r="BP253" s="104">
        <v>6.977927688409352</v>
      </c>
      <c r="BQ253" s="100"/>
      <c r="BR253" s="104">
        <v>4.7601004063781645</v>
      </c>
      <c r="BS253" s="100"/>
      <c r="BT253" s="120">
        <v>5.5638785522639447</v>
      </c>
      <c r="BU253" s="116"/>
      <c r="BV253" s="120">
        <v>5.7790149971226636</v>
      </c>
      <c r="BW253" s="116"/>
      <c r="BX253" s="38"/>
      <c r="BY253" s="55"/>
      <c r="BZ253" s="38"/>
      <c r="CA253" s="55"/>
      <c r="CB253" s="38"/>
      <c r="CC253" s="55"/>
      <c r="CD253" s="38"/>
      <c r="CE253" s="55"/>
      <c r="CF253" s="38"/>
      <c r="CG253" s="55"/>
      <c r="CH253" s="38"/>
      <c r="CI253" s="55"/>
      <c r="CJ253" s="38"/>
      <c r="CK253" s="55"/>
      <c r="CL253" s="156">
        <v>5.8035341925214317</v>
      </c>
      <c r="CM253" s="152"/>
      <c r="CN253" s="156">
        <v>6.2571659492885736</v>
      </c>
      <c r="CO253" s="152"/>
      <c r="CP253" s="156">
        <v>4.643681610925479</v>
      </c>
      <c r="CQ253" s="152"/>
      <c r="CR253" s="173">
        <v>6.396966213965249</v>
      </c>
      <c r="CS253" s="169"/>
      <c r="CT253" s="173">
        <v>5.4843717696794752</v>
      </c>
      <c r="CU253" s="169"/>
      <c r="CV253" s="173">
        <v>4.8059617839683639</v>
      </c>
      <c r="CW253" s="169"/>
      <c r="CX253" s="38"/>
      <c r="CY253" s="55"/>
      <c r="CZ253" s="38"/>
      <c r="DA253" s="55"/>
      <c r="DB253" s="72">
        <v>5.6593319062079956</v>
      </c>
      <c r="DC253" s="68"/>
      <c r="DD253" s="72">
        <v>5.834486532227535</v>
      </c>
      <c r="DE253" s="68"/>
      <c r="DF253" s="72">
        <v>5.4469443824277777</v>
      </c>
      <c r="DG253" s="68"/>
    </row>
    <row r="254" spans="1:111" outlineLevel="1" x14ac:dyDescent="0.2">
      <c r="A254" s="30"/>
      <c r="B254" s="37" t="s">
        <v>98</v>
      </c>
      <c r="C254" s="38">
        <v>13.480972556579871</v>
      </c>
      <c r="D254" s="72">
        <v>0</v>
      </c>
      <c r="E254" s="68"/>
      <c r="F254" s="72">
        <v>13.480972556579871</v>
      </c>
      <c r="G254" s="68"/>
      <c r="H254" s="88">
        <v>2.4338621592774619</v>
      </c>
      <c r="I254" s="84"/>
      <c r="J254" s="88">
        <v>15.553062528999686</v>
      </c>
      <c r="K254" s="84" t="s">
        <v>176</v>
      </c>
      <c r="L254" s="136"/>
      <c r="M254" s="132"/>
      <c r="N254" s="136"/>
      <c r="O254" s="132"/>
      <c r="P254" s="104">
        <v>10.500796791195148</v>
      </c>
      <c r="Q254" s="100"/>
      <c r="R254" s="104">
        <v>13.198750350296324</v>
      </c>
      <c r="S254" s="100"/>
      <c r="T254" s="104">
        <v>18.880335885709208</v>
      </c>
      <c r="U254" s="100" t="s">
        <v>180</v>
      </c>
      <c r="V254" s="120">
        <v>13.606646353011879</v>
      </c>
      <c r="W254" s="116"/>
      <c r="X254" s="120">
        <v>15.119253489385455</v>
      </c>
      <c r="Y254" s="116"/>
      <c r="Z254" s="120">
        <v>19.769589776533035</v>
      </c>
      <c r="AA254" s="116"/>
      <c r="AB254" s="156">
        <v>9.8004974207190614</v>
      </c>
      <c r="AC254" s="152"/>
      <c r="AD254" s="156">
        <v>15.700361201133793</v>
      </c>
      <c r="AE254" s="152"/>
      <c r="AF254" s="156">
        <v>10.745424896458886</v>
      </c>
      <c r="AG254" s="152"/>
      <c r="AH254" s="156">
        <v>19.03104581692158</v>
      </c>
      <c r="AI254" s="152"/>
      <c r="AJ254" s="173">
        <v>14.505940517140639</v>
      </c>
      <c r="AK254" s="169"/>
      <c r="AL254" s="173">
        <v>12.743265073295511</v>
      </c>
      <c r="AM254" s="169"/>
      <c r="AN254" s="38"/>
      <c r="AO254" s="55"/>
      <c r="AP254" s="38"/>
      <c r="AQ254" s="55"/>
      <c r="AR254" s="38"/>
      <c r="AS254" s="55"/>
      <c r="AT254" s="38"/>
      <c r="AU254" s="55"/>
      <c r="AV254" s="38"/>
      <c r="AW254" s="55"/>
      <c r="AX254" s="38"/>
      <c r="AY254" s="55"/>
      <c r="AZ254" s="38"/>
      <c r="BA254" s="55"/>
      <c r="BB254" s="38"/>
      <c r="BC254" s="55"/>
      <c r="BD254" s="72">
        <v>14.503699416472662</v>
      </c>
      <c r="BE254" s="68"/>
      <c r="BF254" s="72">
        <v>14.1850624865241</v>
      </c>
      <c r="BG254" s="68"/>
      <c r="BH254" s="72">
        <v>9.5378133843377455</v>
      </c>
      <c r="BI254" s="68"/>
      <c r="BJ254" s="72">
        <v>15.867044063964288</v>
      </c>
      <c r="BK254" s="68"/>
      <c r="BL254" s="88">
        <v>14.757445370240108</v>
      </c>
      <c r="BM254" s="84"/>
      <c r="BN254" s="88">
        <v>10.07655972026256</v>
      </c>
      <c r="BO254" s="84"/>
      <c r="BP254" s="104">
        <v>13.470288954456931</v>
      </c>
      <c r="BQ254" s="100"/>
      <c r="BR254" s="104">
        <v>13.116454146880969</v>
      </c>
      <c r="BS254" s="100"/>
      <c r="BT254" s="120">
        <v>13.396131685916952</v>
      </c>
      <c r="BU254" s="116"/>
      <c r="BV254" s="120">
        <v>13.383151525942129</v>
      </c>
      <c r="BW254" s="116"/>
      <c r="BX254" s="38"/>
      <c r="BY254" s="55"/>
      <c r="BZ254" s="38"/>
      <c r="CA254" s="55"/>
      <c r="CB254" s="38"/>
      <c r="CC254" s="55"/>
      <c r="CD254" s="38"/>
      <c r="CE254" s="55"/>
      <c r="CF254" s="38"/>
      <c r="CG254" s="55"/>
      <c r="CH254" s="38"/>
      <c r="CI254" s="55"/>
      <c r="CJ254" s="38"/>
      <c r="CK254" s="55"/>
      <c r="CL254" s="156">
        <v>12.032920732843326</v>
      </c>
      <c r="CM254" s="152"/>
      <c r="CN254" s="156">
        <v>16.487115388229988</v>
      </c>
      <c r="CO254" s="152"/>
      <c r="CP254" s="156">
        <v>18.766646215234406</v>
      </c>
      <c r="CQ254" s="152"/>
      <c r="CR254" s="173">
        <v>10.500796791195148</v>
      </c>
      <c r="CS254" s="169"/>
      <c r="CT254" s="173">
        <v>18.880335885709208</v>
      </c>
      <c r="CU254" s="169" t="s">
        <v>48</v>
      </c>
      <c r="CV254" s="173">
        <v>13.198750350296324</v>
      </c>
      <c r="CW254" s="169"/>
      <c r="CX254" s="38"/>
      <c r="CY254" s="55"/>
      <c r="CZ254" s="38"/>
      <c r="DA254" s="55"/>
      <c r="DB254" s="72">
        <v>10.632050579977099</v>
      </c>
      <c r="DC254" s="68"/>
      <c r="DD254" s="72">
        <v>14.067245015794848</v>
      </c>
      <c r="DE254" s="68"/>
      <c r="DF254" s="72">
        <v>15.270615108982248</v>
      </c>
      <c r="DG254" s="68"/>
    </row>
    <row r="255" spans="1:111" outlineLevel="1" x14ac:dyDescent="0.2">
      <c r="A255" s="30"/>
      <c r="B255" s="30"/>
      <c r="E255" s="66"/>
      <c r="G255" s="66"/>
      <c r="I255" s="82"/>
      <c r="K255" s="82"/>
      <c r="M255" s="130"/>
      <c r="O255" s="130"/>
      <c r="Q255" s="98"/>
      <c r="S255" s="98"/>
      <c r="U255" s="98"/>
      <c r="W255" s="114"/>
      <c r="Y255" s="114"/>
      <c r="AA255" s="114"/>
      <c r="AC255" s="150"/>
      <c r="AE255" s="150"/>
      <c r="AG255" s="150"/>
      <c r="AI255" s="150"/>
      <c r="AK255" s="167"/>
      <c r="AM255" s="167"/>
      <c r="AO255" s="54"/>
      <c r="AQ255" s="54"/>
      <c r="AS255" s="54"/>
      <c r="AU255" s="54"/>
      <c r="AW255" s="54"/>
      <c r="AY255" s="54"/>
      <c r="BA255" s="54"/>
      <c r="BC255" s="54"/>
      <c r="BE255" s="66"/>
      <c r="BG255" s="66"/>
      <c r="BI255" s="66"/>
      <c r="BK255" s="66"/>
      <c r="BM255" s="82"/>
      <c r="BO255" s="82"/>
      <c r="BQ255" s="98"/>
      <c r="BS255" s="98"/>
      <c r="BU255" s="114"/>
      <c r="BW255" s="114"/>
      <c r="BY255" s="54"/>
      <c r="CA255" s="54"/>
      <c r="CC255" s="54"/>
      <c r="CE255" s="54"/>
      <c r="CG255" s="54"/>
      <c r="CI255" s="54"/>
      <c r="CK255" s="54"/>
      <c r="CM255" s="150"/>
      <c r="CO255" s="150"/>
      <c r="CQ255" s="150"/>
      <c r="CS255" s="167"/>
      <c r="CU255" s="167"/>
      <c r="CW255" s="167"/>
      <c r="CY255" s="54"/>
      <c r="DA255" s="54"/>
      <c r="DC255" s="66"/>
      <c r="DE255" s="66"/>
      <c r="DG255" s="66"/>
    </row>
    <row r="256" spans="1:111" x14ac:dyDescent="0.2">
      <c r="A256" s="30"/>
      <c r="B256" s="30"/>
      <c r="E256" s="66"/>
      <c r="G256" s="66"/>
      <c r="I256" s="82"/>
      <c r="K256" s="82"/>
      <c r="M256" s="130"/>
      <c r="O256" s="130"/>
      <c r="Q256" s="98"/>
      <c r="S256" s="98"/>
      <c r="U256" s="98"/>
      <c r="W256" s="114"/>
      <c r="Y256" s="114"/>
      <c r="AA256" s="114"/>
      <c r="AC256" s="150"/>
      <c r="AE256" s="150"/>
      <c r="AG256" s="150"/>
      <c r="AI256" s="150"/>
      <c r="AK256" s="167"/>
      <c r="AM256" s="167"/>
      <c r="AO256" s="54"/>
      <c r="AQ256" s="54"/>
      <c r="AS256" s="54"/>
      <c r="AU256" s="54"/>
      <c r="AW256" s="54"/>
      <c r="AY256" s="54"/>
      <c r="BA256" s="54"/>
      <c r="BC256" s="54"/>
      <c r="BE256" s="66"/>
      <c r="BG256" s="66"/>
      <c r="BI256" s="66"/>
      <c r="BK256" s="66"/>
      <c r="BM256" s="82"/>
      <c r="BO256" s="82"/>
      <c r="BQ256" s="98"/>
      <c r="BS256" s="98"/>
      <c r="BU256" s="114"/>
      <c r="BW256" s="114"/>
      <c r="BY256" s="54"/>
      <c r="CA256" s="54"/>
      <c r="CC256" s="54"/>
      <c r="CE256" s="54"/>
      <c r="CG256" s="54"/>
      <c r="CI256" s="54"/>
      <c r="CK256" s="54"/>
      <c r="CM256" s="150"/>
      <c r="CO256" s="150"/>
      <c r="CQ256" s="150"/>
      <c r="CS256" s="167"/>
      <c r="CU256" s="167"/>
      <c r="CW256" s="167"/>
      <c r="CY256" s="54"/>
      <c r="DA256" s="54"/>
      <c r="DC256" s="66"/>
      <c r="DE256" s="66"/>
      <c r="DG256" s="66"/>
    </row>
  </sheetData>
  <mergeCells count="59">
    <mergeCell ref="AN1:BB1"/>
    <mergeCell ref="BX3:CB3"/>
    <mergeCell ref="AB1:AH1"/>
    <mergeCell ref="D1:F1"/>
    <mergeCell ref="H1:J1"/>
    <mergeCell ref="L1:N1"/>
    <mergeCell ref="P1:Z1"/>
    <mergeCell ref="V2:Z2"/>
    <mergeCell ref="AJ1:AL1"/>
    <mergeCell ref="AB2:AH2"/>
    <mergeCell ref="D2:F2"/>
    <mergeCell ref="H2:J2"/>
    <mergeCell ref="L2:N2"/>
    <mergeCell ref="P2:T2"/>
    <mergeCell ref="BD3:BJ3"/>
    <mergeCell ref="BT2:BV2"/>
    <mergeCell ref="CX1:CZ1"/>
    <mergeCell ref="DB1:DF1"/>
    <mergeCell ref="BD1:BJ1"/>
    <mergeCell ref="BL1:BN1"/>
    <mergeCell ref="BP1:BR1"/>
    <mergeCell ref="BT1:BV1"/>
    <mergeCell ref="BX1:CB1"/>
    <mergeCell ref="CD1:CF1"/>
    <mergeCell ref="CH1:CJ1"/>
    <mergeCell ref="CL1:CP1"/>
    <mergeCell ref="CR1:CV1"/>
    <mergeCell ref="AJ2:AL2"/>
    <mergeCell ref="AN2:BB2"/>
    <mergeCell ref="BD2:BJ2"/>
    <mergeCell ref="BL2:BN2"/>
    <mergeCell ref="BP2:BR2"/>
    <mergeCell ref="DB2:DF2"/>
    <mergeCell ref="AB3:AH3"/>
    <mergeCell ref="D3:F3"/>
    <mergeCell ref="H3:J3"/>
    <mergeCell ref="L3:N3"/>
    <mergeCell ref="P3:T3"/>
    <mergeCell ref="V3:Z3"/>
    <mergeCell ref="AJ3:AL3"/>
    <mergeCell ref="AN3:AT3"/>
    <mergeCell ref="AV3:BB3"/>
    <mergeCell ref="BX2:CB2"/>
    <mergeCell ref="CD2:CF2"/>
    <mergeCell ref="CH2:CJ2"/>
    <mergeCell ref="CL2:CP2"/>
    <mergeCell ref="CR2:CV2"/>
    <mergeCell ref="CX2:CZ2"/>
    <mergeCell ref="CR3:CV3"/>
    <mergeCell ref="CX3:CZ3"/>
    <mergeCell ref="DB3:DF3"/>
    <mergeCell ref="A4:B4"/>
    <mergeCell ref="BL3:BN3"/>
    <mergeCell ref="BP3:BR3"/>
    <mergeCell ref="BT3:BV3"/>
    <mergeCell ref="CH3:CJ3"/>
    <mergeCell ref="CL3:CP3"/>
    <mergeCell ref="CD3:CF3"/>
    <mergeCell ref="A3:B3"/>
  </mergeCells>
  <pageMargins left="0.25" right="0.25" top="0.75" bottom="0.75" header="0.3" footer="0.3"/>
  <pageSetup scale="16" orientation="portrait" r:id="rId1"/>
  <headerFooter alignWithMargins="0"/>
  <rowBreaks count="13" manualBreakCount="13">
    <brk id="31" max="169" man="1"/>
    <brk id="58" max="169" man="1"/>
    <brk id="71" max="169" man="1"/>
    <brk id="86" max="169" man="1"/>
    <brk id="101" max="169" man="1"/>
    <brk id="122" max="169" man="1"/>
    <brk id="151" max="169" man="1"/>
    <brk id="166" max="169" man="1"/>
    <brk id="181" max="169" man="1"/>
    <brk id="196" max="169" man="1"/>
    <brk id="211" max="169" man="1"/>
    <brk id="226" max="169" man="1"/>
    <brk id="241" max="1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94F-45FB-4F00-8B46-A622A20B286D}">
  <sheetPr codeName="Sheet3">
    <outlinePr summaryBelow="0" summaryRight="0"/>
  </sheetPr>
  <dimension ref="A1:EI225"/>
  <sheetViews>
    <sheetView tabSelected="1" zoomScaleNormal="100" workbookViewId="0">
      <pane xSplit="3" ySplit="6" topLeftCell="D7" activePane="bottomRight" state="frozenSplit"/>
      <selection pane="topRight" activeCell="F1" sqref="F1"/>
      <selection pane="bottomLeft" activeCell="A7" sqref="A7"/>
      <selection pane="bottomRight" activeCell="DO21" sqref="DO21"/>
    </sheetView>
  </sheetViews>
  <sheetFormatPr baseColWidth="10" defaultColWidth="7.6640625" defaultRowHeight="15" outlineLevelRow="1" x14ac:dyDescent="0.2"/>
  <cols>
    <col min="1" max="1" width="7" style="2" bestFit="1" customWidth="1"/>
    <col min="2" max="2" width="32.6640625" style="2" bestFit="1" customWidth="1"/>
    <col min="3" max="3" width="6.6640625" style="1" customWidth="1"/>
    <col min="4" max="4" width="6.6640625" style="186" customWidth="1"/>
    <col min="5" max="5" width="2" style="194" bestFit="1" customWidth="1"/>
    <col min="6" max="6" width="6.6640625" style="186" customWidth="1"/>
    <col min="7" max="7" width="2" style="194" bestFit="1" customWidth="1"/>
    <col min="8" max="8" width="6.6640625" style="200" customWidth="1"/>
    <col min="9" max="9" width="2" style="208" bestFit="1" customWidth="1"/>
    <col min="10" max="10" width="6.6640625" style="200" customWidth="1"/>
    <col min="11" max="11" width="2" style="208" bestFit="1" customWidth="1"/>
    <col min="12" max="12" width="6.6640625" style="200" customWidth="1"/>
    <col min="13" max="13" width="2" style="208" bestFit="1" customWidth="1"/>
    <col min="14" max="14" width="6.6640625" style="200" customWidth="1"/>
    <col min="15" max="15" width="2" style="208" bestFit="1" customWidth="1"/>
    <col min="16" max="16" width="6.6640625" style="214" customWidth="1"/>
    <col min="17" max="17" width="2" style="222" bestFit="1" customWidth="1"/>
    <col min="18" max="18" width="6.6640625" style="214" customWidth="1"/>
    <col min="19" max="19" width="2" style="222" bestFit="1" customWidth="1"/>
    <col min="20" max="20" width="6.6640625" style="214" customWidth="1"/>
    <col min="21" max="21" width="2" style="222" bestFit="1" customWidth="1"/>
    <col min="22" max="22" width="6.6640625" style="214" customWidth="1"/>
    <col min="23" max="23" width="2" style="222" bestFit="1" customWidth="1"/>
    <col min="24" max="24" width="6.6640625" style="244" customWidth="1"/>
    <col min="25" max="25" width="3" style="252" bestFit="1" customWidth="1"/>
    <col min="26" max="26" width="6.6640625" style="244" customWidth="1"/>
    <col min="27" max="27" width="3" style="252" bestFit="1" customWidth="1"/>
    <col min="28" max="28" width="6.6640625" style="244" customWidth="1"/>
    <col min="29" max="29" width="3" style="252" bestFit="1" customWidth="1"/>
    <col min="30" max="30" width="6.6640625" style="244" customWidth="1"/>
    <col min="31" max="31" width="2" style="252" bestFit="1" customWidth="1"/>
    <col min="32" max="32" width="6.6640625" style="244" customWidth="1"/>
    <col min="33" max="33" width="2" style="252" bestFit="1" customWidth="1"/>
    <col min="34" max="34" width="6.6640625" style="244" customWidth="1"/>
    <col min="35" max="35" width="2" style="252" bestFit="1" customWidth="1"/>
    <col min="36" max="36" width="6.6640625" style="229" customWidth="1"/>
    <col min="37" max="37" width="3" style="237" bestFit="1" customWidth="1"/>
    <col min="38" max="38" width="6.6640625" style="229" customWidth="1"/>
    <col min="39" max="39" width="3" style="237" bestFit="1" customWidth="1"/>
    <col min="40" max="40" width="6.6640625" style="229" customWidth="1"/>
    <col min="41" max="41" width="3" style="237" bestFit="1" customWidth="1"/>
    <col min="42" max="42" width="6.6640625" style="229" customWidth="1"/>
    <col min="43" max="43" width="3" style="237" bestFit="1" customWidth="1"/>
    <col min="44" max="44" width="6.6640625" style="229" customWidth="1"/>
    <col min="45" max="45" width="3" style="237" bestFit="1" customWidth="1"/>
    <col min="46" max="46" width="6.6640625" style="229" customWidth="1"/>
    <col min="47" max="47" width="3" style="237" bestFit="1" customWidth="1"/>
    <col min="48" max="48" width="6.6640625" style="260" customWidth="1"/>
    <col min="49" max="49" width="2" style="268" bestFit="1" customWidth="1"/>
    <col min="50" max="50" width="6.6640625" style="260" customWidth="1"/>
    <col min="51" max="51" width="2" style="268" bestFit="1" customWidth="1"/>
    <col min="52" max="52" width="6.6640625" style="260" customWidth="1"/>
    <col min="53" max="53" width="2" style="268" bestFit="1" customWidth="1"/>
    <col min="54" max="54" width="6.6640625" style="260" customWidth="1"/>
    <col min="55" max="55" width="2" style="268" bestFit="1" customWidth="1"/>
    <col min="56" max="56" width="6.6640625" style="260" customWidth="1"/>
    <col min="57" max="57" width="2" style="268" bestFit="1" customWidth="1"/>
    <col min="58" max="58" width="6.6640625" style="260" customWidth="1"/>
    <col min="59" max="59" width="2" style="268" bestFit="1" customWidth="1"/>
    <col min="60" max="60" width="6.6640625" style="260" customWidth="1"/>
    <col min="61" max="61" width="2" style="268" bestFit="1" customWidth="1"/>
    <col min="62" max="62" width="6.6640625" style="260" customWidth="1"/>
    <col min="63" max="63" width="2" style="268" bestFit="1" customWidth="1"/>
    <col min="64" max="64" width="6.6640625" style="186" customWidth="1"/>
    <col min="65" max="65" width="3" style="194" bestFit="1" customWidth="1"/>
    <col min="66" max="66" width="6.6640625" style="186" customWidth="1"/>
    <col min="67" max="67" width="3" style="194" bestFit="1" customWidth="1"/>
    <col min="68" max="68" width="6.6640625" style="186" customWidth="1"/>
    <col min="69" max="69" width="3" style="194" bestFit="1" customWidth="1"/>
    <col min="70" max="70" width="6.6640625" style="186" customWidth="1"/>
    <col min="71" max="71" width="3" style="194" bestFit="1" customWidth="1"/>
    <col min="72" max="72" width="6.6640625" style="200" customWidth="1"/>
    <col min="73" max="73" width="3" style="208" bestFit="1" customWidth="1"/>
    <col min="74" max="74" width="6.6640625" style="200" customWidth="1"/>
    <col min="75" max="75" width="3" style="208" bestFit="1" customWidth="1"/>
    <col min="76" max="76" width="6.6640625" style="200" customWidth="1"/>
    <col min="77" max="77" width="3" style="208" bestFit="1" customWidth="1"/>
    <col min="78" max="78" width="6.6640625" style="200" customWidth="1"/>
    <col min="79" max="79" width="3" style="208" bestFit="1" customWidth="1"/>
    <col min="80" max="80" width="6.6640625" style="200" customWidth="1"/>
    <col min="81" max="81" width="3" style="208" bestFit="1" customWidth="1"/>
    <col min="82" max="82" width="6.6640625" style="200" customWidth="1"/>
    <col min="83" max="83" width="3" style="208" bestFit="1" customWidth="1"/>
    <col min="84" max="84" width="6.6640625" style="200" customWidth="1"/>
    <col min="85" max="85" width="3" style="208" bestFit="1" customWidth="1"/>
    <col min="86" max="86" width="6.6640625" style="200" customWidth="1"/>
    <col min="87" max="87" width="3" style="208" bestFit="1" customWidth="1"/>
    <col min="88" max="88" width="6.6640625" style="214" customWidth="1"/>
    <col min="89" max="89" width="3" style="222" bestFit="1" customWidth="1"/>
    <col min="90" max="90" width="6.6640625" style="214" customWidth="1"/>
    <col min="91" max="91" width="3" style="222" bestFit="1" customWidth="1"/>
    <col min="92" max="92" width="6.6640625" style="214" customWidth="1"/>
    <col min="93" max="93" width="3" style="222" bestFit="1" customWidth="1"/>
    <col min="94" max="94" width="6.6640625" style="214" customWidth="1"/>
    <col min="95" max="95" width="3" style="222" bestFit="1" customWidth="1"/>
    <col min="96" max="96" width="6.6640625" style="244" customWidth="1"/>
    <col min="97" max="97" width="3" style="252" bestFit="1" customWidth="1"/>
    <col min="98" max="98" width="6.6640625" style="244" customWidth="1"/>
    <col min="99" max="99" width="3" style="252" bestFit="1" customWidth="1"/>
    <col min="100" max="100" width="6.6640625" style="244" customWidth="1"/>
    <col min="101" max="101" width="3" style="252" bestFit="1" customWidth="1"/>
    <col min="102" max="102" width="6.6640625" style="244" customWidth="1"/>
    <col min="103" max="103" width="3" style="252" bestFit="1" customWidth="1"/>
    <col min="104" max="104" width="6.6640625" style="229" customWidth="1"/>
    <col min="105" max="105" width="3" style="237" bestFit="1" customWidth="1"/>
    <col min="106" max="106" width="6.6640625" style="229" customWidth="1"/>
    <col min="107" max="107" width="3" style="237" bestFit="1" customWidth="1"/>
    <col min="108" max="108" width="6.6640625" style="229" customWidth="1"/>
    <col min="109" max="109" width="3" style="237" bestFit="1" customWidth="1"/>
    <col min="110" max="110" width="6.6640625" style="229" customWidth="1"/>
    <col min="111" max="111" width="3" style="237" bestFit="1" customWidth="1"/>
    <col min="112" max="112" width="6.6640625" style="229" customWidth="1"/>
    <col min="113" max="113" width="3" style="237" bestFit="1" customWidth="1"/>
    <col min="114" max="114" width="6.6640625" style="229" customWidth="1"/>
    <col min="115" max="115" width="3" style="237" bestFit="1" customWidth="1"/>
    <col min="116" max="116" width="6.6640625" style="260" customWidth="1"/>
    <col min="117" max="117" width="3" style="268" bestFit="1" customWidth="1"/>
    <col min="118" max="118" width="6.6640625" style="260" customWidth="1"/>
    <col min="119" max="119" width="3" style="268" bestFit="1" customWidth="1"/>
    <col min="120" max="120" width="6.6640625" style="260" customWidth="1"/>
    <col min="121" max="121" width="3" style="268" bestFit="1" customWidth="1"/>
    <col min="122" max="122" width="6.6640625" style="260" customWidth="1"/>
    <col min="123" max="123" width="3" style="268" bestFit="1" customWidth="1"/>
    <col min="124" max="124" width="6.6640625" style="260" customWidth="1"/>
    <col min="125" max="125" width="3" style="268" bestFit="1" customWidth="1"/>
    <col min="126" max="126" width="6.6640625" style="260" customWidth="1"/>
    <col min="127" max="127" width="3" style="268" bestFit="1" customWidth="1"/>
    <col min="128" max="128" width="6.6640625" style="186" customWidth="1"/>
    <col min="129" max="129" width="3" style="194" bestFit="1" customWidth="1"/>
    <col min="130" max="130" width="6.6640625" style="186" customWidth="1"/>
    <col min="131" max="131" width="3" style="194" bestFit="1" customWidth="1"/>
    <col min="132" max="132" width="6.6640625" style="186" customWidth="1"/>
    <col min="133" max="133" width="3" style="194" bestFit="1" customWidth="1"/>
    <col min="134" max="134" width="6.6640625" style="186" customWidth="1"/>
    <col min="135" max="135" width="3" style="194" bestFit="1" customWidth="1"/>
    <col min="136" max="136" width="6.6640625" style="186" customWidth="1"/>
    <col min="137" max="137" width="3" style="194" bestFit="1" customWidth="1"/>
    <col min="138" max="138" width="6.6640625" style="186" customWidth="1"/>
    <col min="139" max="139" width="3" style="194" bestFit="1" customWidth="1"/>
    <col min="140" max="16384" width="7.6640625" style="1"/>
  </cols>
  <sheetData>
    <row r="1" spans="1:139" ht="17" x14ac:dyDescent="0.3">
      <c r="A1" s="22" t="s">
        <v>263</v>
      </c>
      <c r="B1" s="24"/>
      <c r="C1" s="4"/>
      <c r="D1" s="315"/>
      <c r="E1" s="315"/>
      <c r="F1" s="315"/>
      <c r="G1" s="181"/>
      <c r="H1" s="316"/>
      <c r="I1" s="316"/>
      <c r="J1" s="316"/>
      <c r="K1" s="316"/>
      <c r="L1" s="316"/>
      <c r="M1" s="316"/>
      <c r="N1" s="316"/>
      <c r="O1" s="195"/>
      <c r="P1" s="317"/>
      <c r="Q1" s="317"/>
      <c r="R1" s="317"/>
      <c r="S1" s="317"/>
      <c r="T1" s="317"/>
      <c r="U1" s="317"/>
      <c r="V1" s="317"/>
      <c r="W1" s="209"/>
      <c r="X1" s="303" t="s">
        <v>1</v>
      </c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10" t="s">
        <v>2</v>
      </c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253"/>
      <c r="BL1" s="315"/>
      <c r="BM1" s="315"/>
      <c r="BN1" s="315"/>
      <c r="BO1" s="315"/>
      <c r="BP1" s="315"/>
      <c r="BQ1" s="315"/>
      <c r="BR1" s="315"/>
      <c r="BS1" s="181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271"/>
      <c r="CJ1" s="313"/>
      <c r="CK1" s="313"/>
      <c r="CL1" s="313"/>
      <c r="CM1" s="313"/>
      <c r="CN1" s="313"/>
      <c r="CO1" s="313"/>
      <c r="CP1" s="313"/>
      <c r="CQ1" s="272"/>
      <c r="CR1" s="318"/>
      <c r="CS1" s="318"/>
      <c r="CT1" s="318"/>
      <c r="CU1" s="318"/>
      <c r="CV1" s="318"/>
      <c r="CW1" s="318"/>
      <c r="CX1" s="318"/>
      <c r="CY1" s="273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274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  <c r="DW1" s="253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181"/>
    </row>
    <row r="2" spans="1:139" ht="17" x14ac:dyDescent="0.3">
      <c r="A2" s="22" t="s">
        <v>264</v>
      </c>
      <c r="B2" s="24"/>
      <c r="C2" s="4"/>
      <c r="D2" s="315"/>
      <c r="E2" s="315"/>
      <c r="F2" s="315"/>
      <c r="G2" s="181"/>
      <c r="H2" s="316"/>
      <c r="I2" s="316"/>
      <c r="J2" s="316"/>
      <c r="K2" s="316"/>
      <c r="L2" s="316"/>
      <c r="M2" s="316"/>
      <c r="N2" s="316"/>
      <c r="O2" s="195"/>
      <c r="P2" s="317"/>
      <c r="Q2" s="317"/>
      <c r="R2" s="317"/>
      <c r="S2" s="317"/>
      <c r="T2" s="317"/>
      <c r="U2" s="317"/>
      <c r="V2" s="317"/>
      <c r="W2" s="209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253"/>
      <c r="BL2" s="315"/>
      <c r="BM2" s="315"/>
      <c r="BN2" s="315"/>
      <c r="BO2" s="315"/>
      <c r="BP2" s="315"/>
      <c r="BQ2" s="315"/>
      <c r="BR2" s="315"/>
      <c r="BS2" s="181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271"/>
      <c r="CJ2" s="313"/>
      <c r="CK2" s="313"/>
      <c r="CL2" s="313"/>
      <c r="CM2" s="313"/>
      <c r="CN2" s="313"/>
      <c r="CO2" s="313"/>
      <c r="CP2" s="313"/>
      <c r="CQ2" s="272"/>
      <c r="CR2" s="318"/>
      <c r="CS2" s="318"/>
      <c r="CT2" s="318"/>
      <c r="CU2" s="318"/>
      <c r="CV2" s="318"/>
      <c r="CW2" s="318"/>
      <c r="CX2" s="318"/>
      <c r="CY2" s="273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274"/>
      <c r="DL2" s="309"/>
      <c r="DM2" s="309"/>
      <c r="DN2" s="309"/>
      <c r="DO2" s="309"/>
      <c r="DP2" s="309"/>
      <c r="DQ2" s="309"/>
      <c r="DR2" s="309"/>
      <c r="DS2" s="309"/>
      <c r="DT2" s="309"/>
      <c r="DU2" s="309"/>
      <c r="DV2" s="309"/>
      <c r="DW2" s="253"/>
      <c r="DX2" s="315"/>
      <c r="DY2" s="315"/>
      <c r="DZ2" s="315"/>
      <c r="EA2" s="315"/>
      <c r="EB2" s="315"/>
      <c r="EC2" s="315"/>
      <c r="ED2" s="315"/>
      <c r="EE2" s="315"/>
      <c r="EF2" s="315"/>
      <c r="EG2" s="315"/>
      <c r="EH2" s="315"/>
      <c r="EI2" s="181"/>
    </row>
    <row r="3" spans="1:139" ht="33" customHeight="1" x14ac:dyDescent="0.3">
      <c r="A3" s="280" t="s">
        <v>265</v>
      </c>
      <c r="B3" s="280"/>
      <c r="C3" s="4"/>
      <c r="D3" s="315"/>
      <c r="E3" s="315"/>
      <c r="F3" s="315"/>
      <c r="G3" s="181"/>
      <c r="H3" s="307" t="s">
        <v>4</v>
      </c>
      <c r="I3" s="307"/>
      <c r="J3" s="307"/>
      <c r="K3" s="307"/>
      <c r="L3" s="307"/>
      <c r="M3" s="307"/>
      <c r="N3" s="307"/>
      <c r="O3" s="195"/>
      <c r="P3" s="314" t="s">
        <v>5</v>
      </c>
      <c r="Q3" s="314"/>
      <c r="R3" s="314"/>
      <c r="S3" s="314"/>
      <c r="T3" s="314"/>
      <c r="U3" s="314"/>
      <c r="V3" s="314"/>
      <c r="W3" s="209"/>
      <c r="X3" s="303" t="s">
        <v>8</v>
      </c>
      <c r="Y3" s="303"/>
      <c r="Z3" s="303"/>
      <c r="AA3" s="303"/>
      <c r="AB3" s="303"/>
      <c r="AC3" s="238"/>
      <c r="AD3" s="303" t="s">
        <v>9</v>
      </c>
      <c r="AE3" s="303"/>
      <c r="AF3" s="303"/>
      <c r="AG3" s="303"/>
      <c r="AH3" s="303"/>
      <c r="AI3" s="238"/>
      <c r="AJ3" s="310" t="s">
        <v>8</v>
      </c>
      <c r="AK3" s="310"/>
      <c r="AL3" s="310"/>
      <c r="AM3" s="310"/>
      <c r="AN3" s="310"/>
      <c r="AO3" s="223"/>
      <c r="AP3" s="310" t="s">
        <v>9</v>
      </c>
      <c r="AQ3" s="310"/>
      <c r="AR3" s="310"/>
      <c r="AS3" s="310"/>
      <c r="AT3" s="310"/>
      <c r="AU3" s="223"/>
      <c r="AV3" s="306" t="s">
        <v>3</v>
      </c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254"/>
      <c r="BL3" s="311" t="s">
        <v>10</v>
      </c>
      <c r="BM3" s="311"/>
      <c r="BN3" s="311"/>
      <c r="BO3" s="311"/>
      <c r="BP3" s="311"/>
      <c r="BQ3" s="311"/>
      <c r="BR3" s="311"/>
      <c r="BS3" s="269"/>
      <c r="BT3" s="307" t="s">
        <v>13</v>
      </c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195"/>
      <c r="CJ3" s="314" t="s">
        <v>14</v>
      </c>
      <c r="CK3" s="314"/>
      <c r="CL3" s="314"/>
      <c r="CM3" s="314"/>
      <c r="CN3" s="314"/>
      <c r="CO3" s="314"/>
      <c r="CP3" s="314"/>
      <c r="CQ3" s="209"/>
      <c r="CR3" s="303" t="s">
        <v>15</v>
      </c>
      <c r="CS3" s="303"/>
      <c r="CT3" s="303"/>
      <c r="CU3" s="303"/>
      <c r="CV3" s="303"/>
      <c r="CW3" s="303"/>
      <c r="CX3" s="303"/>
      <c r="CY3" s="238"/>
      <c r="CZ3" s="310" t="s">
        <v>17</v>
      </c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223"/>
      <c r="DL3" s="306" t="s">
        <v>0</v>
      </c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254"/>
      <c r="DX3" s="311" t="s">
        <v>18</v>
      </c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269"/>
    </row>
    <row r="4" spans="1:139" s="20" customFormat="1" ht="31.5" customHeight="1" x14ac:dyDescent="0.3">
      <c r="A4" s="22"/>
      <c r="B4" s="3"/>
      <c r="C4" s="19"/>
      <c r="D4" s="300" t="s">
        <v>7</v>
      </c>
      <c r="E4" s="300"/>
      <c r="F4" s="300"/>
      <c r="G4" s="182"/>
      <c r="H4" s="302" t="s">
        <v>23</v>
      </c>
      <c r="I4" s="302"/>
      <c r="J4" s="302"/>
      <c r="K4" s="196"/>
      <c r="L4" s="302" t="s">
        <v>1</v>
      </c>
      <c r="M4" s="302"/>
      <c r="N4" s="302"/>
      <c r="O4" s="196"/>
      <c r="P4" s="304" t="s">
        <v>24</v>
      </c>
      <c r="Q4" s="304"/>
      <c r="R4" s="304"/>
      <c r="S4" s="210"/>
      <c r="T4" s="304" t="s">
        <v>25</v>
      </c>
      <c r="U4" s="304"/>
      <c r="V4" s="304"/>
      <c r="W4" s="210"/>
      <c r="X4" s="239" t="s">
        <v>26</v>
      </c>
      <c r="Y4" s="240"/>
      <c r="Z4" s="239" t="s">
        <v>27</v>
      </c>
      <c r="AA4" s="240"/>
      <c r="AB4" s="239" t="s">
        <v>28</v>
      </c>
      <c r="AC4" s="240"/>
      <c r="AD4" s="239" t="s">
        <v>26</v>
      </c>
      <c r="AE4" s="240"/>
      <c r="AF4" s="239" t="s">
        <v>27</v>
      </c>
      <c r="AG4" s="240"/>
      <c r="AH4" s="239" t="s">
        <v>28</v>
      </c>
      <c r="AI4" s="240"/>
      <c r="AJ4" s="224" t="s">
        <v>26</v>
      </c>
      <c r="AK4" s="225"/>
      <c r="AL4" s="224" t="s">
        <v>27</v>
      </c>
      <c r="AM4" s="225"/>
      <c r="AN4" s="224" t="s">
        <v>28</v>
      </c>
      <c r="AO4" s="225"/>
      <c r="AP4" s="224" t="s">
        <v>26</v>
      </c>
      <c r="AQ4" s="225"/>
      <c r="AR4" s="224" t="s">
        <v>27</v>
      </c>
      <c r="AS4" s="225"/>
      <c r="AT4" s="224" t="s">
        <v>28</v>
      </c>
      <c r="AU4" s="225"/>
      <c r="AV4" s="301" t="s">
        <v>19</v>
      </c>
      <c r="AW4" s="301"/>
      <c r="AX4" s="301"/>
      <c r="AY4" s="255"/>
      <c r="AZ4" s="301" t="s">
        <v>20</v>
      </c>
      <c r="BA4" s="301"/>
      <c r="BB4" s="301"/>
      <c r="BC4" s="255"/>
      <c r="BD4" s="301" t="s">
        <v>21</v>
      </c>
      <c r="BE4" s="301"/>
      <c r="BF4" s="301"/>
      <c r="BG4" s="255"/>
      <c r="BH4" s="298" t="s">
        <v>22</v>
      </c>
      <c r="BI4" s="298"/>
      <c r="BJ4" s="298"/>
      <c r="BK4" s="256"/>
      <c r="BL4" s="299" t="s">
        <v>11</v>
      </c>
      <c r="BM4" s="299"/>
      <c r="BN4" s="299"/>
      <c r="BO4" s="270"/>
      <c r="BP4" s="299" t="s">
        <v>12</v>
      </c>
      <c r="BQ4" s="299"/>
      <c r="BR4" s="299"/>
      <c r="BS4" s="270"/>
      <c r="BT4" s="302" t="s">
        <v>29</v>
      </c>
      <c r="BU4" s="302"/>
      <c r="BV4" s="302"/>
      <c r="BW4" s="196"/>
      <c r="BX4" s="302" t="s">
        <v>30</v>
      </c>
      <c r="BY4" s="302"/>
      <c r="BZ4" s="302"/>
      <c r="CA4" s="196"/>
      <c r="CB4" s="302" t="s">
        <v>31</v>
      </c>
      <c r="CC4" s="302"/>
      <c r="CD4" s="302"/>
      <c r="CE4" s="196"/>
      <c r="CF4" s="302" t="s">
        <v>32</v>
      </c>
      <c r="CG4" s="302"/>
      <c r="CH4" s="302"/>
      <c r="CI4" s="196"/>
      <c r="CJ4" s="304" t="s">
        <v>33</v>
      </c>
      <c r="CK4" s="304"/>
      <c r="CL4" s="304"/>
      <c r="CM4" s="210"/>
      <c r="CN4" s="304" t="s">
        <v>34</v>
      </c>
      <c r="CO4" s="304"/>
      <c r="CP4" s="304"/>
      <c r="CQ4" s="210"/>
      <c r="CR4" s="305" t="s">
        <v>35</v>
      </c>
      <c r="CS4" s="305"/>
      <c r="CT4" s="305"/>
      <c r="CU4" s="240"/>
      <c r="CV4" s="305" t="s">
        <v>36</v>
      </c>
      <c r="CW4" s="305"/>
      <c r="CX4" s="305"/>
      <c r="CY4" s="240"/>
      <c r="CZ4" s="297" t="s">
        <v>39</v>
      </c>
      <c r="DA4" s="297"/>
      <c r="DB4" s="297"/>
      <c r="DC4" s="225"/>
      <c r="DD4" s="297" t="s">
        <v>40</v>
      </c>
      <c r="DE4" s="297"/>
      <c r="DF4" s="297"/>
      <c r="DG4" s="225"/>
      <c r="DH4" s="297" t="s">
        <v>41</v>
      </c>
      <c r="DI4" s="297"/>
      <c r="DJ4" s="297"/>
      <c r="DK4" s="225"/>
      <c r="DL4" s="298" t="s">
        <v>42</v>
      </c>
      <c r="DM4" s="298"/>
      <c r="DN4" s="298"/>
      <c r="DO4" s="256"/>
      <c r="DP4" s="298" t="s">
        <v>43</v>
      </c>
      <c r="DQ4" s="298"/>
      <c r="DR4" s="298"/>
      <c r="DS4" s="256"/>
      <c r="DT4" s="298" t="s">
        <v>44</v>
      </c>
      <c r="DU4" s="298"/>
      <c r="DV4" s="298"/>
      <c r="DW4" s="256"/>
      <c r="DX4" s="299" t="s">
        <v>45</v>
      </c>
      <c r="DY4" s="299"/>
      <c r="DZ4" s="299"/>
      <c r="EA4" s="270"/>
      <c r="EB4" s="299" t="s">
        <v>46</v>
      </c>
      <c r="EC4" s="299"/>
      <c r="ED4" s="299"/>
      <c r="EE4" s="270"/>
      <c r="EF4" s="299" t="s">
        <v>47</v>
      </c>
      <c r="EG4" s="299"/>
      <c r="EH4" s="299"/>
      <c r="EI4" s="270"/>
    </row>
    <row r="5" spans="1:139" ht="15" customHeight="1" x14ac:dyDescent="0.3">
      <c r="B5" s="3"/>
      <c r="C5" s="5" t="s">
        <v>7</v>
      </c>
      <c r="D5" s="183" t="s">
        <v>48</v>
      </c>
      <c r="E5" s="184"/>
      <c r="F5" s="183" t="s">
        <v>49</v>
      </c>
      <c r="G5" s="184"/>
      <c r="H5" s="197" t="s">
        <v>48</v>
      </c>
      <c r="I5" s="198"/>
      <c r="J5" s="197" t="s">
        <v>49</v>
      </c>
      <c r="K5" s="198"/>
      <c r="L5" s="197" t="s">
        <v>48</v>
      </c>
      <c r="M5" s="198"/>
      <c r="N5" s="197" t="s">
        <v>49</v>
      </c>
      <c r="O5" s="198"/>
      <c r="P5" s="211" t="s">
        <v>48</v>
      </c>
      <c r="Q5" s="212"/>
      <c r="R5" s="211" t="s">
        <v>49</v>
      </c>
      <c r="S5" s="212"/>
      <c r="T5" s="211" t="s">
        <v>48</v>
      </c>
      <c r="U5" s="212"/>
      <c r="V5" s="211" t="s">
        <v>49</v>
      </c>
      <c r="W5" s="212"/>
      <c r="X5" s="241" t="s">
        <v>50</v>
      </c>
      <c r="Y5" s="242"/>
      <c r="Z5" s="241" t="s">
        <v>51</v>
      </c>
      <c r="AA5" s="242"/>
      <c r="AB5" s="241" t="s">
        <v>52</v>
      </c>
      <c r="AC5" s="242"/>
      <c r="AD5" s="241" t="s">
        <v>50</v>
      </c>
      <c r="AE5" s="242"/>
      <c r="AF5" s="241" t="s">
        <v>51</v>
      </c>
      <c r="AG5" s="242"/>
      <c r="AH5" s="241" t="s">
        <v>52</v>
      </c>
      <c r="AI5" s="242"/>
      <c r="AJ5" s="226" t="s">
        <v>50</v>
      </c>
      <c r="AK5" s="227"/>
      <c r="AL5" s="226" t="s">
        <v>51</v>
      </c>
      <c r="AM5" s="227"/>
      <c r="AN5" s="226" t="s">
        <v>52</v>
      </c>
      <c r="AO5" s="227"/>
      <c r="AP5" s="226" t="s">
        <v>50</v>
      </c>
      <c r="AQ5" s="227"/>
      <c r="AR5" s="226" t="s">
        <v>51</v>
      </c>
      <c r="AS5" s="227"/>
      <c r="AT5" s="226" t="s">
        <v>52</v>
      </c>
      <c r="AU5" s="227"/>
      <c r="AV5" s="257" t="s">
        <v>48</v>
      </c>
      <c r="AW5" s="258"/>
      <c r="AX5" s="257" t="s">
        <v>49</v>
      </c>
      <c r="AY5" s="258"/>
      <c r="AZ5" s="257" t="s">
        <v>48</v>
      </c>
      <c r="BA5" s="258"/>
      <c r="BB5" s="257" t="s">
        <v>49</v>
      </c>
      <c r="BC5" s="258"/>
      <c r="BD5" s="257" t="s">
        <v>48</v>
      </c>
      <c r="BE5" s="258"/>
      <c r="BF5" s="257" t="s">
        <v>49</v>
      </c>
      <c r="BG5" s="258"/>
      <c r="BH5" s="257" t="s">
        <v>48</v>
      </c>
      <c r="BI5" s="258"/>
      <c r="BJ5" s="257" t="s">
        <v>49</v>
      </c>
      <c r="BK5" s="258"/>
      <c r="BL5" s="183" t="s">
        <v>48</v>
      </c>
      <c r="BM5" s="184"/>
      <c r="BN5" s="183" t="s">
        <v>49</v>
      </c>
      <c r="BO5" s="184"/>
      <c r="BP5" s="183" t="s">
        <v>48</v>
      </c>
      <c r="BQ5" s="184"/>
      <c r="BR5" s="183" t="s">
        <v>49</v>
      </c>
      <c r="BS5" s="184"/>
      <c r="BT5" s="197" t="s">
        <v>48</v>
      </c>
      <c r="BU5" s="198"/>
      <c r="BV5" s="197" t="s">
        <v>49</v>
      </c>
      <c r="BW5" s="198"/>
      <c r="BX5" s="197" t="s">
        <v>48</v>
      </c>
      <c r="BY5" s="198"/>
      <c r="BZ5" s="197" t="s">
        <v>49</v>
      </c>
      <c r="CA5" s="198"/>
      <c r="CB5" s="197" t="s">
        <v>48</v>
      </c>
      <c r="CC5" s="198"/>
      <c r="CD5" s="197" t="s">
        <v>49</v>
      </c>
      <c r="CE5" s="198"/>
      <c r="CF5" s="197" t="s">
        <v>48</v>
      </c>
      <c r="CG5" s="198"/>
      <c r="CH5" s="197" t="s">
        <v>49</v>
      </c>
      <c r="CI5" s="198"/>
      <c r="CJ5" s="211" t="s">
        <v>48</v>
      </c>
      <c r="CK5" s="212"/>
      <c r="CL5" s="211" t="s">
        <v>49</v>
      </c>
      <c r="CM5" s="212"/>
      <c r="CN5" s="211" t="s">
        <v>48</v>
      </c>
      <c r="CO5" s="212"/>
      <c r="CP5" s="211" t="s">
        <v>49</v>
      </c>
      <c r="CQ5" s="212"/>
      <c r="CR5" s="241" t="s">
        <v>48</v>
      </c>
      <c r="CS5" s="242"/>
      <c r="CT5" s="241" t="s">
        <v>49</v>
      </c>
      <c r="CU5" s="242"/>
      <c r="CV5" s="241" t="s">
        <v>48</v>
      </c>
      <c r="CW5" s="242"/>
      <c r="CX5" s="241" t="s">
        <v>49</v>
      </c>
      <c r="CY5" s="242"/>
      <c r="CZ5" s="226" t="s">
        <v>48</v>
      </c>
      <c r="DA5" s="227"/>
      <c r="DB5" s="226" t="s">
        <v>49</v>
      </c>
      <c r="DC5" s="227"/>
      <c r="DD5" s="226" t="s">
        <v>48</v>
      </c>
      <c r="DE5" s="227"/>
      <c r="DF5" s="226" t="s">
        <v>49</v>
      </c>
      <c r="DG5" s="227"/>
      <c r="DH5" s="226" t="s">
        <v>48</v>
      </c>
      <c r="DI5" s="227"/>
      <c r="DJ5" s="226" t="s">
        <v>49</v>
      </c>
      <c r="DK5" s="227"/>
      <c r="DL5" s="257" t="s">
        <v>48</v>
      </c>
      <c r="DM5" s="258"/>
      <c r="DN5" s="257" t="s">
        <v>49</v>
      </c>
      <c r="DO5" s="258"/>
      <c r="DP5" s="257" t="s">
        <v>48</v>
      </c>
      <c r="DQ5" s="258"/>
      <c r="DR5" s="257" t="s">
        <v>49</v>
      </c>
      <c r="DS5" s="258"/>
      <c r="DT5" s="257" t="s">
        <v>48</v>
      </c>
      <c r="DU5" s="258"/>
      <c r="DV5" s="257" t="s">
        <v>49</v>
      </c>
      <c r="DW5" s="258"/>
      <c r="DX5" s="183" t="s">
        <v>48</v>
      </c>
      <c r="DY5" s="184"/>
      <c r="DZ5" s="183" t="s">
        <v>49</v>
      </c>
      <c r="EA5" s="184"/>
      <c r="EB5" s="183" t="s">
        <v>48</v>
      </c>
      <c r="EC5" s="184"/>
      <c r="ED5" s="183" t="s">
        <v>49</v>
      </c>
      <c r="EE5" s="184"/>
      <c r="EF5" s="183" t="s">
        <v>48</v>
      </c>
      <c r="EG5" s="184"/>
      <c r="EH5" s="183" t="s">
        <v>49</v>
      </c>
      <c r="EI5" s="184"/>
    </row>
    <row r="6" spans="1:139" ht="14.25" customHeight="1" x14ac:dyDescent="0.2">
      <c r="B6" s="3"/>
      <c r="C6" s="21" t="s">
        <v>168</v>
      </c>
      <c r="D6" s="185" t="s">
        <v>169</v>
      </c>
      <c r="E6" s="184"/>
      <c r="F6" s="185" t="s">
        <v>170</v>
      </c>
      <c r="G6" s="184"/>
      <c r="H6" s="199" t="s">
        <v>179</v>
      </c>
      <c r="I6" s="198"/>
      <c r="J6" s="199" t="s">
        <v>180</v>
      </c>
      <c r="K6" s="198"/>
      <c r="L6" s="199" t="s">
        <v>181</v>
      </c>
      <c r="M6" s="198"/>
      <c r="N6" s="199" t="s">
        <v>182</v>
      </c>
      <c r="O6" s="198"/>
      <c r="P6" s="213" t="s">
        <v>183</v>
      </c>
      <c r="Q6" s="212"/>
      <c r="R6" s="213" t="s">
        <v>184</v>
      </c>
      <c r="S6" s="212"/>
      <c r="T6" s="213" t="s">
        <v>185</v>
      </c>
      <c r="U6" s="212"/>
      <c r="V6" s="213" t="s">
        <v>186</v>
      </c>
      <c r="W6" s="212"/>
      <c r="X6" s="243" t="s">
        <v>108</v>
      </c>
      <c r="Y6" s="242"/>
      <c r="Z6" s="243" t="s">
        <v>109</v>
      </c>
      <c r="AA6" s="242"/>
      <c r="AB6" s="243" t="s">
        <v>188</v>
      </c>
      <c r="AC6" s="242"/>
      <c r="AD6" s="243" t="s">
        <v>189</v>
      </c>
      <c r="AE6" s="242"/>
      <c r="AF6" s="243" t="s">
        <v>190</v>
      </c>
      <c r="AG6" s="242"/>
      <c r="AH6" s="243" t="s">
        <v>191</v>
      </c>
      <c r="AI6" s="242"/>
      <c r="AJ6" s="228" t="s">
        <v>192</v>
      </c>
      <c r="AK6" s="227"/>
      <c r="AL6" s="228" t="s">
        <v>193</v>
      </c>
      <c r="AM6" s="227"/>
      <c r="AN6" s="228" t="s">
        <v>194</v>
      </c>
      <c r="AO6" s="227"/>
      <c r="AP6" s="228" t="s">
        <v>195</v>
      </c>
      <c r="AQ6" s="227"/>
      <c r="AR6" s="228" t="s">
        <v>196</v>
      </c>
      <c r="AS6" s="227"/>
      <c r="AT6" s="228" t="s">
        <v>197</v>
      </c>
      <c r="AU6" s="227"/>
      <c r="AV6" s="259" t="s">
        <v>171</v>
      </c>
      <c r="AW6" s="258"/>
      <c r="AX6" s="259" t="s">
        <v>172</v>
      </c>
      <c r="AY6" s="258"/>
      <c r="AZ6" s="259" t="s">
        <v>173</v>
      </c>
      <c r="BA6" s="258"/>
      <c r="BB6" s="259" t="s">
        <v>174</v>
      </c>
      <c r="BC6" s="258"/>
      <c r="BD6" s="259" t="s">
        <v>175</v>
      </c>
      <c r="BE6" s="258"/>
      <c r="BF6" s="259" t="s">
        <v>176</v>
      </c>
      <c r="BG6" s="258"/>
      <c r="BH6" s="259" t="s">
        <v>177</v>
      </c>
      <c r="BI6" s="258"/>
      <c r="BJ6" s="259" t="s">
        <v>178</v>
      </c>
      <c r="BK6" s="258"/>
      <c r="BL6" s="185" t="s">
        <v>198</v>
      </c>
      <c r="BM6" s="184"/>
      <c r="BN6" s="185" t="s">
        <v>199</v>
      </c>
      <c r="BO6" s="184"/>
      <c r="BP6" s="185" t="s">
        <v>200</v>
      </c>
      <c r="BQ6" s="184"/>
      <c r="BR6" s="185" t="s">
        <v>165</v>
      </c>
      <c r="BS6" s="184"/>
      <c r="BT6" s="199" t="s">
        <v>208</v>
      </c>
      <c r="BU6" s="198"/>
      <c r="BV6" s="199" t="s">
        <v>209</v>
      </c>
      <c r="BW6" s="198"/>
      <c r="BX6" s="199" t="s">
        <v>210</v>
      </c>
      <c r="BY6" s="198"/>
      <c r="BZ6" s="199" t="s">
        <v>211</v>
      </c>
      <c r="CA6" s="198"/>
      <c r="CB6" s="199" t="s">
        <v>212</v>
      </c>
      <c r="CC6" s="198"/>
      <c r="CD6" s="199" t="s">
        <v>213</v>
      </c>
      <c r="CE6" s="198"/>
      <c r="CF6" s="199" t="s">
        <v>214</v>
      </c>
      <c r="CG6" s="198"/>
      <c r="CH6" s="199" t="s">
        <v>215</v>
      </c>
      <c r="CI6" s="198"/>
      <c r="CJ6" s="213" t="s">
        <v>216</v>
      </c>
      <c r="CK6" s="212"/>
      <c r="CL6" s="213" t="s">
        <v>112</v>
      </c>
      <c r="CM6" s="212"/>
      <c r="CN6" s="213" t="s">
        <v>217</v>
      </c>
      <c r="CO6" s="212"/>
      <c r="CP6" s="213" t="s">
        <v>218</v>
      </c>
      <c r="CQ6" s="212"/>
      <c r="CR6" s="243" t="s">
        <v>219</v>
      </c>
      <c r="CS6" s="242"/>
      <c r="CT6" s="243" t="s">
        <v>220</v>
      </c>
      <c r="CU6" s="242"/>
      <c r="CV6" s="243" t="s">
        <v>221</v>
      </c>
      <c r="CW6" s="242"/>
      <c r="CX6" s="243" t="s">
        <v>166</v>
      </c>
      <c r="CY6" s="242"/>
      <c r="CZ6" s="228" t="s">
        <v>222</v>
      </c>
      <c r="DA6" s="227"/>
      <c r="DB6" s="228" t="s">
        <v>223</v>
      </c>
      <c r="DC6" s="227"/>
      <c r="DD6" s="228" t="s">
        <v>224</v>
      </c>
      <c r="DE6" s="227"/>
      <c r="DF6" s="228" t="s">
        <v>225</v>
      </c>
      <c r="DG6" s="227"/>
      <c r="DH6" s="228" t="s">
        <v>226</v>
      </c>
      <c r="DI6" s="227"/>
      <c r="DJ6" s="228" t="s">
        <v>227</v>
      </c>
      <c r="DK6" s="227"/>
      <c r="DL6" s="259" t="s">
        <v>228</v>
      </c>
      <c r="DM6" s="258"/>
      <c r="DN6" s="259" t="s">
        <v>229</v>
      </c>
      <c r="DO6" s="258"/>
      <c r="DP6" s="259" t="s">
        <v>230</v>
      </c>
      <c r="DQ6" s="258"/>
      <c r="DR6" s="259" t="s">
        <v>231</v>
      </c>
      <c r="DS6" s="258"/>
      <c r="DT6" s="259" t="s">
        <v>232</v>
      </c>
      <c r="DU6" s="258"/>
      <c r="DV6" s="259" t="s">
        <v>233</v>
      </c>
      <c r="DW6" s="258"/>
      <c r="DX6" s="185" t="s">
        <v>234</v>
      </c>
      <c r="DY6" s="184"/>
      <c r="DZ6" s="185" t="s">
        <v>235</v>
      </c>
      <c r="EA6" s="184"/>
      <c r="EB6" s="185" t="s">
        <v>236</v>
      </c>
      <c r="EC6" s="184"/>
      <c r="ED6" s="185" t="s">
        <v>237</v>
      </c>
      <c r="EE6" s="184"/>
      <c r="EF6" s="185" t="s">
        <v>238</v>
      </c>
      <c r="EG6" s="184"/>
      <c r="EH6" s="185" t="s">
        <v>239</v>
      </c>
      <c r="EI6" s="184"/>
    </row>
    <row r="7" spans="1:139" x14ac:dyDescent="0.2">
      <c r="A7" s="6" t="s">
        <v>53</v>
      </c>
      <c r="B7" s="7" t="s">
        <v>54</v>
      </c>
      <c r="E7" s="187"/>
      <c r="G7" s="187"/>
      <c r="I7" s="201"/>
      <c r="K7" s="201"/>
      <c r="M7" s="201"/>
      <c r="O7" s="201"/>
      <c r="Q7" s="215"/>
      <c r="S7" s="215"/>
      <c r="U7" s="215"/>
      <c r="W7" s="215"/>
      <c r="Y7" s="245"/>
      <c r="AA7" s="245"/>
      <c r="AC7" s="245"/>
      <c r="AE7" s="245"/>
      <c r="AG7" s="245"/>
      <c r="AI7" s="245"/>
      <c r="AK7" s="230"/>
      <c r="AM7" s="230"/>
      <c r="AO7" s="230"/>
      <c r="AQ7" s="230"/>
      <c r="AS7" s="230"/>
      <c r="AU7" s="230"/>
      <c r="AW7" s="261"/>
      <c r="AY7" s="261"/>
      <c r="BA7" s="261"/>
      <c r="BC7" s="261"/>
      <c r="BE7" s="261"/>
      <c r="BG7" s="261"/>
      <c r="BI7" s="261"/>
      <c r="BK7" s="261"/>
      <c r="BM7" s="187"/>
      <c r="BO7" s="187"/>
      <c r="BQ7" s="187"/>
      <c r="BS7" s="187"/>
      <c r="BU7" s="201"/>
      <c r="BW7" s="201"/>
      <c r="BY7" s="201"/>
      <c r="CA7" s="201"/>
      <c r="CC7" s="201"/>
      <c r="CE7" s="201"/>
      <c r="CG7" s="201"/>
      <c r="CI7" s="201"/>
      <c r="CK7" s="215"/>
      <c r="CM7" s="215"/>
      <c r="CO7" s="215"/>
      <c r="CQ7" s="215"/>
      <c r="CS7" s="245"/>
      <c r="CU7" s="245"/>
      <c r="CW7" s="245"/>
      <c r="CY7" s="245"/>
      <c r="DA7" s="230"/>
      <c r="DC7" s="230"/>
      <c r="DE7" s="230"/>
      <c r="DG7" s="230"/>
      <c r="DI7" s="230"/>
      <c r="DK7" s="230"/>
      <c r="DM7" s="261"/>
      <c r="DO7" s="261"/>
      <c r="DQ7" s="261"/>
      <c r="DS7" s="261"/>
      <c r="DU7" s="261"/>
      <c r="DW7" s="261"/>
      <c r="DY7" s="187"/>
      <c r="EA7" s="187"/>
      <c r="EC7" s="187"/>
      <c r="EE7" s="187"/>
      <c r="EG7" s="187"/>
      <c r="EI7" s="187"/>
    </row>
    <row r="8" spans="1:139" outlineLevel="1" x14ac:dyDescent="0.2">
      <c r="A8"/>
      <c r="B8" s="9" t="s">
        <v>55</v>
      </c>
      <c r="C8" s="8">
        <f>1883.05224610559+89.9477538944136</f>
        <v>1973.0000000000036</v>
      </c>
      <c r="D8" s="188">
        <f>967.527394309411+37.4726056905894</f>
        <v>1005.0000000000003</v>
      </c>
      <c r="E8" s="189"/>
      <c r="F8" s="188">
        <f>915.674025315765+52.3259746842352</f>
        <v>968.00000000000023</v>
      </c>
      <c r="G8" s="189"/>
      <c r="H8" s="202">
        <f>614.914712703891+25.0852872961091</f>
        <v>640.00000000000011</v>
      </c>
      <c r="I8" s="203"/>
      <c r="J8" s="202">
        <f>571.592789928119+29.4072100718807</f>
        <v>600.99999999999977</v>
      </c>
      <c r="K8" s="203"/>
      <c r="L8" s="202">
        <f>352.928444129701+12.0715558702993</f>
        <v>365.00000000000028</v>
      </c>
      <c r="M8" s="203"/>
      <c r="N8" s="202">
        <f>344.344915978557+22.6550840214431</f>
        <v>367.00000000000011</v>
      </c>
      <c r="O8" s="203"/>
      <c r="P8" s="216">
        <f>666.134795233083+26.8652047669171</f>
        <v>693.00000000000011</v>
      </c>
      <c r="Q8" s="217"/>
      <c r="R8" s="216">
        <f>628.589973530577+34.410026469423</f>
        <v>663</v>
      </c>
      <c r="S8" s="217"/>
      <c r="T8" s="216">
        <f>301.732918900987+10.2670810990132</f>
        <v>312.00000000000017</v>
      </c>
      <c r="U8" s="217"/>
      <c r="V8" s="216">
        <f>287.140440951688+17.8595590483123</f>
        <v>305.00000000000028</v>
      </c>
      <c r="W8" s="217"/>
      <c r="X8" s="246">
        <f>108.171904333963+4.82809566603692</f>
        <v>112.99999999999991</v>
      </c>
      <c r="Y8" s="247"/>
      <c r="Z8" s="246">
        <f>100.435584999034+3.56441500096641</f>
        <v>104.00000000000041</v>
      </c>
      <c r="AA8" s="247"/>
      <c r="AB8" s="246">
        <f>97.1245187341028+1.87548126589725</f>
        <v>99.000000000000043</v>
      </c>
      <c r="AC8" s="247"/>
      <c r="AD8" s="246">
        <f>89.7922517565178+7.20774824348219</f>
        <v>96.999999999999986</v>
      </c>
      <c r="AE8" s="247"/>
      <c r="AF8" s="246">
        <f>83.2058580005259+5.79414199947415</f>
        <v>89.000000000000043</v>
      </c>
      <c r="AG8" s="247"/>
      <c r="AH8" s="246">
        <f>105.139139086837+4.86086091316319</f>
        <v>110.0000000000002</v>
      </c>
      <c r="AI8" s="247"/>
      <c r="AJ8" s="231">
        <f>81.347414494191+3.65258550580896</f>
        <v>84.999999999999957</v>
      </c>
      <c r="AK8" s="232"/>
      <c r="AL8" s="231">
        <f>86.7773955885698+3.22260441143024</f>
        <v>90.000000000000043</v>
      </c>
      <c r="AM8" s="232"/>
      <c r="AN8" s="231">
        <f>91.2486792832434+1.75132071675662</f>
        <v>93.000000000000028</v>
      </c>
      <c r="AO8" s="232"/>
      <c r="AP8" s="231">
        <f>61.5558959595598+3.44410404044016</f>
        <v>64.999999999999957</v>
      </c>
      <c r="AQ8" s="232"/>
      <c r="AR8" s="231">
        <f>72.5600476663241+5.43995233367595</f>
        <v>78.000000000000043</v>
      </c>
      <c r="AS8" s="232"/>
      <c r="AT8" s="231">
        <f>96.2370441283936+4.76295587160638</f>
        <v>100.99999999999999</v>
      </c>
      <c r="AU8" s="232"/>
      <c r="AV8" s="262">
        <f>197.715853616343+7.284146383657</f>
        <v>205</v>
      </c>
      <c r="AW8" s="263"/>
      <c r="AX8" s="262">
        <f>222.310601003113+7.68939899688726</f>
        <v>230.00000000000026</v>
      </c>
      <c r="AY8" s="263"/>
      <c r="AZ8" s="262">
        <f>392.403354729256+13.5966452707435</f>
        <v>405.99999999999955</v>
      </c>
      <c r="BA8" s="263"/>
      <c r="BB8" s="262">
        <f>346.728378469888+22.2716215301122</f>
        <v>369.00000000000023</v>
      </c>
      <c r="BC8" s="263"/>
      <c r="BD8" s="262">
        <f>154.550159416201+5.44984058379873</f>
        <v>159.99999999999974</v>
      </c>
      <c r="BE8" s="263"/>
      <c r="BF8" s="262">
        <f>156.704083884388+5.29591611561236</f>
        <v>162.00000000000037</v>
      </c>
      <c r="BG8" s="263"/>
      <c r="BH8" s="262">
        <f>230.339276084846+3.66072391515439</f>
        <v>234.0000000000004</v>
      </c>
      <c r="BI8" s="263"/>
      <c r="BJ8" s="262">
        <f>200.935318042598+6.06468195740226</f>
        <v>207.00000000000026</v>
      </c>
      <c r="BK8" s="263"/>
      <c r="BL8" s="188">
        <f>467.920890025199+23.0791099748013</f>
        <v>491.00000000000034</v>
      </c>
      <c r="BM8" s="189"/>
      <c r="BN8" s="188">
        <f>455.419752172956+21.5802478270436</f>
        <v>476.9999999999996</v>
      </c>
      <c r="BO8" s="189"/>
      <c r="BP8" s="188">
        <f>499.920187868175+14.0798121318251</f>
        <v>514.00000000000011</v>
      </c>
      <c r="BQ8" s="189"/>
      <c r="BR8" s="188">
        <f>460.279012276745+30.7209877232551</f>
        <v>491.00000000000011</v>
      </c>
      <c r="BS8" s="189"/>
      <c r="BT8" s="202">
        <f>199.012276964019+5.98772303598091</f>
        <v>204.99999999999991</v>
      </c>
      <c r="BU8" s="203"/>
      <c r="BV8" s="202">
        <f>181.014059701763+4.98594029823695</f>
        <v>185.99999999999994</v>
      </c>
      <c r="BW8" s="203"/>
      <c r="BX8" s="202">
        <f>358.107365326749+11.8926346732514</f>
        <v>370.0000000000004</v>
      </c>
      <c r="BY8" s="203"/>
      <c r="BZ8" s="202">
        <f>390.539964767126+7.46003523287402</f>
        <v>398</v>
      </c>
      <c r="CA8" s="203"/>
      <c r="CB8" s="202">
        <f>216.489006579472+5.51099342052765</f>
        <v>221.99999999999966</v>
      </c>
      <c r="CC8" s="203"/>
      <c r="CD8" s="202">
        <f>193.528998687179+8.47100131282144</f>
        <v>202.00000000000045</v>
      </c>
      <c r="CE8" s="203"/>
      <c r="CF8" s="202">
        <f>196.54096017015+11.45903982985</f>
        <v>208</v>
      </c>
      <c r="CG8" s="203"/>
      <c r="CH8" s="202">
        <f>168.225931261699+13.7740687383015</f>
        <v>182.00000000000051</v>
      </c>
      <c r="CI8" s="203"/>
      <c r="CJ8" s="216">
        <f>434.967758722076+15.0322412779238</f>
        <v>449.99999999999977</v>
      </c>
      <c r="CK8" s="217"/>
      <c r="CL8" s="216">
        <f>461.320453395883+26.6795466041166</f>
        <v>487.9999999999996</v>
      </c>
      <c r="CM8" s="217"/>
      <c r="CN8" s="216">
        <f>499.832494257641+21.1675057423587</f>
        <v>520.99999999999966</v>
      </c>
      <c r="CO8" s="217"/>
      <c r="CP8" s="216">
        <f>419.228434557519+23.7715654424807</f>
        <v>442.99999999999972</v>
      </c>
      <c r="CQ8" s="217"/>
      <c r="CR8" s="246">
        <f>278.600721225599+9.39927877440061</f>
        <v>287.9999999999996</v>
      </c>
      <c r="CS8" s="247"/>
      <c r="CT8" s="246">
        <f>288.303155214841+11.696844785159</f>
        <v>300</v>
      </c>
      <c r="CU8" s="247"/>
      <c r="CV8" s="246">
        <f>687.2765940079+27.7234059920997</f>
        <v>714.99999999999977</v>
      </c>
      <c r="CW8" s="247"/>
      <c r="CX8" s="246">
        <f>623.292717768491+39.7072822315085</f>
        <v>662.99999999999955</v>
      </c>
      <c r="CY8" s="247"/>
      <c r="CZ8" s="231">
        <f>692.423144809988+22.576855190012</f>
        <v>715</v>
      </c>
      <c r="DA8" s="232"/>
      <c r="DB8" s="231">
        <f>663.537743943924+34.4622560560761</f>
        <v>698.00000000000011</v>
      </c>
      <c r="DC8" s="232"/>
      <c r="DD8" s="231">
        <f>144.910200171351+8.08979982864935</f>
        <v>153.00000000000034</v>
      </c>
      <c r="DE8" s="232"/>
      <c r="DF8" s="231">
        <f>147.583017202747+10.4169827972532</f>
        <v>158.0000000000002</v>
      </c>
      <c r="DG8" s="232"/>
      <c r="DH8" s="231">
        <f>137.928914326619+13.0710856733805</f>
        <v>150.99999999999952</v>
      </c>
      <c r="DI8" s="232"/>
      <c r="DJ8" s="231">
        <f>128.919238413463+7.08076158653716</f>
        <v>136.00000000000017</v>
      </c>
      <c r="DK8" s="232"/>
      <c r="DL8" s="262">
        <f>413.862071051737+17.1379289482628</f>
        <v>430.99999999999983</v>
      </c>
      <c r="DM8" s="263"/>
      <c r="DN8" s="262">
        <f>357.90141607247+21.0985839275298</f>
        <v>378.99999999999977</v>
      </c>
      <c r="DO8" s="263"/>
      <c r="DP8" s="262">
        <f>241.873526237823+8.1264737621774</f>
        <v>250.0000000000004</v>
      </c>
      <c r="DQ8" s="263"/>
      <c r="DR8" s="262">
        <f>256.512738009862+13.4872619901379</f>
        <v>269.99999999999989</v>
      </c>
      <c r="DS8" s="263"/>
      <c r="DT8" s="262">
        <f>225.871080498257+9.12891950174273</f>
        <v>234.99999999999972</v>
      </c>
      <c r="DU8" s="263"/>
      <c r="DV8" s="262">
        <f>199.781557066392+11.2184429336075</f>
        <v>210.99999999999949</v>
      </c>
      <c r="DW8" s="263"/>
      <c r="DX8" s="188">
        <f>259.270985115657+12.7290148843434</f>
        <v>272.00000000000045</v>
      </c>
      <c r="DY8" s="189"/>
      <c r="DZ8" s="188">
        <f>303.859853266346+18.1401467336542</f>
        <v>322.00000000000023</v>
      </c>
      <c r="EA8" s="189"/>
      <c r="EB8" s="188">
        <f>517.130870757899+18.8691292421007</f>
        <v>535.99999999999966</v>
      </c>
      <c r="EC8" s="189"/>
      <c r="ED8" s="188">
        <f>405.927020493304+22.0729795066961</f>
        <v>428.00000000000011</v>
      </c>
      <c r="EE8" s="189"/>
      <c r="EF8" s="188">
        <f>191.387221855571+5.61277814442948</f>
        <v>197.00000000000048</v>
      </c>
      <c r="EG8" s="189"/>
      <c r="EH8" s="188">
        <f>206.572842939928+11.4271570600716</f>
        <v>217.9999999999996</v>
      </c>
      <c r="EI8" s="189"/>
    </row>
    <row r="9" spans="1:139" s="18" customFormat="1" outlineLevel="1" x14ac:dyDescent="0.2">
      <c r="A9"/>
      <c r="B9" s="16"/>
      <c r="C9" s="17" t="s">
        <v>167</v>
      </c>
      <c r="D9" s="190" t="s">
        <v>167</v>
      </c>
      <c r="E9" s="191"/>
      <c r="F9" s="190" t="s">
        <v>167</v>
      </c>
      <c r="G9" s="191"/>
      <c r="H9" s="204" t="s">
        <v>167</v>
      </c>
      <c r="I9" s="205"/>
      <c r="J9" s="204" t="s">
        <v>167</v>
      </c>
      <c r="K9" s="205"/>
      <c r="L9" s="204" t="s">
        <v>167</v>
      </c>
      <c r="M9" s="205"/>
      <c r="N9" s="204" t="s">
        <v>167</v>
      </c>
      <c r="O9" s="205"/>
      <c r="P9" s="218" t="s">
        <v>167</v>
      </c>
      <c r="Q9" s="219"/>
      <c r="R9" s="218" t="s">
        <v>167</v>
      </c>
      <c r="S9" s="219"/>
      <c r="T9" s="218" t="s">
        <v>167</v>
      </c>
      <c r="U9" s="219"/>
      <c r="V9" s="218" t="s">
        <v>167</v>
      </c>
      <c r="W9" s="219"/>
      <c r="X9" s="248" t="s">
        <v>167</v>
      </c>
      <c r="Y9" s="249"/>
      <c r="Z9" s="248" t="s">
        <v>167</v>
      </c>
      <c r="AA9" s="249"/>
      <c r="AB9" s="248" t="s">
        <v>167</v>
      </c>
      <c r="AC9" s="249"/>
      <c r="AD9" s="248" t="s">
        <v>167</v>
      </c>
      <c r="AE9" s="249"/>
      <c r="AF9" s="248" t="s">
        <v>167</v>
      </c>
      <c r="AG9" s="249"/>
      <c r="AH9" s="248" t="s">
        <v>167</v>
      </c>
      <c r="AI9" s="249"/>
      <c r="AJ9" s="233" t="s">
        <v>167</v>
      </c>
      <c r="AK9" s="234"/>
      <c r="AL9" s="233" t="s">
        <v>167</v>
      </c>
      <c r="AM9" s="234"/>
      <c r="AN9" s="233" t="s">
        <v>167</v>
      </c>
      <c r="AO9" s="234"/>
      <c r="AP9" s="233" t="s">
        <v>167</v>
      </c>
      <c r="AQ9" s="234"/>
      <c r="AR9" s="233" t="s">
        <v>167</v>
      </c>
      <c r="AS9" s="234"/>
      <c r="AT9" s="233" t="s">
        <v>167</v>
      </c>
      <c r="AU9" s="234"/>
      <c r="AV9" s="264" t="s">
        <v>167</v>
      </c>
      <c r="AW9" s="265"/>
      <c r="AX9" s="264" t="s">
        <v>167</v>
      </c>
      <c r="AY9" s="265"/>
      <c r="AZ9" s="264" t="s">
        <v>167</v>
      </c>
      <c r="BA9" s="265"/>
      <c r="BB9" s="264" t="s">
        <v>167</v>
      </c>
      <c r="BC9" s="265"/>
      <c r="BD9" s="264" t="s">
        <v>167</v>
      </c>
      <c r="BE9" s="265"/>
      <c r="BF9" s="264" t="s">
        <v>167</v>
      </c>
      <c r="BG9" s="265"/>
      <c r="BH9" s="264" t="s">
        <v>167</v>
      </c>
      <c r="BI9" s="265"/>
      <c r="BJ9" s="264" t="s">
        <v>167</v>
      </c>
      <c r="BK9" s="265"/>
      <c r="BL9" s="190" t="s">
        <v>167</v>
      </c>
      <c r="BM9" s="191"/>
      <c r="BN9" s="190" t="s">
        <v>167</v>
      </c>
      <c r="BO9" s="191"/>
      <c r="BP9" s="190" t="s">
        <v>167</v>
      </c>
      <c r="BQ9" s="191"/>
      <c r="BR9" s="190" t="s">
        <v>167</v>
      </c>
      <c r="BS9" s="191"/>
      <c r="BT9" s="204" t="s">
        <v>167</v>
      </c>
      <c r="BU9" s="205"/>
      <c r="BV9" s="204" t="s">
        <v>167</v>
      </c>
      <c r="BW9" s="205"/>
      <c r="BX9" s="204" t="s">
        <v>167</v>
      </c>
      <c r="BY9" s="205"/>
      <c r="BZ9" s="204" t="s">
        <v>167</v>
      </c>
      <c r="CA9" s="205"/>
      <c r="CB9" s="204" t="s">
        <v>167</v>
      </c>
      <c r="CC9" s="205"/>
      <c r="CD9" s="204" t="s">
        <v>167</v>
      </c>
      <c r="CE9" s="205"/>
      <c r="CF9" s="204" t="s">
        <v>167</v>
      </c>
      <c r="CG9" s="205"/>
      <c r="CH9" s="204" t="s">
        <v>167</v>
      </c>
      <c r="CI9" s="205"/>
      <c r="CJ9" s="218" t="s">
        <v>167</v>
      </c>
      <c r="CK9" s="219"/>
      <c r="CL9" s="218" t="s">
        <v>167</v>
      </c>
      <c r="CM9" s="219"/>
      <c r="CN9" s="218" t="s">
        <v>167</v>
      </c>
      <c r="CO9" s="219"/>
      <c r="CP9" s="218" t="s">
        <v>167</v>
      </c>
      <c r="CQ9" s="219"/>
      <c r="CR9" s="248" t="s">
        <v>167</v>
      </c>
      <c r="CS9" s="249"/>
      <c r="CT9" s="248" t="s">
        <v>167</v>
      </c>
      <c r="CU9" s="249"/>
      <c r="CV9" s="248" t="s">
        <v>167</v>
      </c>
      <c r="CW9" s="249"/>
      <c r="CX9" s="248" t="s">
        <v>167</v>
      </c>
      <c r="CY9" s="249"/>
      <c r="CZ9" s="233" t="s">
        <v>167</v>
      </c>
      <c r="DA9" s="234"/>
      <c r="DB9" s="233" t="s">
        <v>167</v>
      </c>
      <c r="DC9" s="234"/>
      <c r="DD9" s="233" t="s">
        <v>167</v>
      </c>
      <c r="DE9" s="234"/>
      <c r="DF9" s="233" t="s">
        <v>167</v>
      </c>
      <c r="DG9" s="234"/>
      <c r="DH9" s="233" t="s">
        <v>167</v>
      </c>
      <c r="DI9" s="234"/>
      <c r="DJ9" s="233" t="s">
        <v>167</v>
      </c>
      <c r="DK9" s="234"/>
      <c r="DL9" s="264" t="s">
        <v>167</v>
      </c>
      <c r="DM9" s="265"/>
      <c r="DN9" s="264" t="s">
        <v>167</v>
      </c>
      <c r="DO9" s="265"/>
      <c r="DP9" s="264" t="s">
        <v>167</v>
      </c>
      <c r="DQ9" s="265"/>
      <c r="DR9" s="264" t="s">
        <v>167</v>
      </c>
      <c r="DS9" s="265"/>
      <c r="DT9" s="264" t="s">
        <v>167</v>
      </c>
      <c r="DU9" s="265"/>
      <c r="DV9" s="264" t="s">
        <v>167</v>
      </c>
      <c r="DW9" s="265"/>
      <c r="DX9" s="190" t="s">
        <v>167</v>
      </c>
      <c r="DY9" s="191"/>
      <c r="DZ9" s="190" t="s">
        <v>167</v>
      </c>
      <c r="EA9" s="191"/>
      <c r="EB9" s="190" t="s">
        <v>167</v>
      </c>
      <c r="EC9" s="191"/>
      <c r="ED9" s="190" t="s">
        <v>167</v>
      </c>
      <c r="EE9" s="191"/>
      <c r="EF9" s="190" t="s">
        <v>167</v>
      </c>
      <c r="EG9" s="191"/>
      <c r="EH9" s="190" t="s">
        <v>167</v>
      </c>
      <c r="EI9" s="191"/>
    </row>
    <row r="10" spans="1:139" outlineLevel="1" x14ac:dyDescent="0.2">
      <c r="A10"/>
      <c r="B10"/>
      <c r="E10" s="187"/>
      <c r="G10" s="187"/>
      <c r="I10" s="201"/>
      <c r="K10" s="201"/>
      <c r="M10" s="201"/>
      <c r="O10" s="201"/>
      <c r="Q10" s="215"/>
      <c r="S10" s="215"/>
      <c r="U10" s="215"/>
      <c r="W10" s="215"/>
      <c r="Y10" s="245"/>
      <c r="AA10" s="245"/>
      <c r="AC10" s="245"/>
      <c r="AE10" s="245"/>
      <c r="AG10" s="245"/>
      <c r="AI10" s="245"/>
      <c r="AK10" s="230"/>
      <c r="AM10" s="230"/>
      <c r="AO10" s="230"/>
      <c r="AQ10" s="230"/>
      <c r="AS10" s="230"/>
      <c r="AU10" s="230"/>
      <c r="AW10" s="261"/>
      <c r="AY10" s="261"/>
      <c r="BA10" s="261"/>
      <c r="BC10" s="261"/>
      <c r="BE10" s="261"/>
      <c r="BG10" s="261"/>
      <c r="BI10" s="261"/>
      <c r="BK10" s="261"/>
      <c r="BM10" s="187"/>
      <c r="BO10" s="187"/>
      <c r="BQ10" s="187"/>
      <c r="BS10" s="187"/>
      <c r="BU10" s="201"/>
      <c r="BW10" s="201"/>
      <c r="BY10" s="201"/>
      <c r="CA10" s="201"/>
      <c r="CC10" s="201"/>
      <c r="CE10" s="201"/>
      <c r="CG10" s="201"/>
      <c r="CI10" s="201"/>
      <c r="CK10" s="215"/>
      <c r="CM10" s="215"/>
      <c r="CO10" s="215"/>
      <c r="CQ10" s="215"/>
      <c r="CS10" s="245"/>
      <c r="CU10" s="245"/>
      <c r="CW10" s="245"/>
      <c r="CY10" s="245"/>
      <c r="DA10" s="230"/>
      <c r="DC10" s="230"/>
      <c r="DE10" s="230"/>
      <c r="DG10" s="230"/>
      <c r="DI10" s="230"/>
      <c r="DK10" s="230"/>
      <c r="DM10" s="261"/>
      <c r="DO10" s="261"/>
      <c r="DQ10" s="261"/>
      <c r="DS10" s="261"/>
      <c r="DU10" s="261"/>
      <c r="DW10" s="261"/>
      <c r="DY10" s="187"/>
      <c r="EA10" s="187"/>
      <c r="EC10" s="187"/>
      <c r="EE10" s="187"/>
      <c r="EG10" s="187"/>
      <c r="EI10" s="187"/>
    </row>
    <row r="11" spans="1:139" outlineLevel="1" x14ac:dyDescent="0.2">
      <c r="A11"/>
      <c r="B11" s="7" t="s">
        <v>56</v>
      </c>
      <c r="C11" s="10">
        <v>62.134205473599572</v>
      </c>
      <c r="D11" s="192">
        <v>62.664991784879525</v>
      </c>
      <c r="E11" s="189"/>
      <c r="F11" s="192">
        <v>61.583258289584464</v>
      </c>
      <c r="G11" s="189"/>
      <c r="H11" s="206">
        <v>100</v>
      </c>
      <c r="I11" s="203"/>
      <c r="J11" s="206">
        <v>100</v>
      </c>
      <c r="K11" s="203"/>
      <c r="L11" s="206">
        <v>0</v>
      </c>
      <c r="M11" s="203"/>
      <c r="N11" s="206">
        <v>0</v>
      </c>
      <c r="O11" s="203"/>
      <c r="P11" s="220">
        <v>92.213733224747756</v>
      </c>
      <c r="Q11" s="217"/>
      <c r="R11" s="220">
        <v>90.192912938432883</v>
      </c>
      <c r="S11" s="217"/>
      <c r="T11" s="220">
        <v>0</v>
      </c>
      <c r="U11" s="217"/>
      <c r="V11" s="220">
        <v>0</v>
      </c>
      <c r="W11" s="217"/>
      <c r="X11" s="250">
        <v>0</v>
      </c>
      <c r="Y11" s="247"/>
      <c r="Z11" s="250">
        <v>0</v>
      </c>
      <c r="AA11" s="247"/>
      <c r="AB11" s="250">
        <v>0</v>
      </c>
      <c r="AC11" s="247"/>
      <c r="AD11" s="250">
        <v>0</v>
      </c>
      <c r="AE11" s="247"/>
      <c r="AF11" s="250">
        <v>0</v>
      </c>
      <c r="AG11" s="247"/>
      <c r="AH11" s="250">
        <v>0</v>
      </c>
      <c r="AI11" s="247"/>
      <c r="AJ11" s="235">
        <v>0</v>
      </c>
      <c r="AK11" s="232"/>
      <c r="AL11" s="235">
        <v>0</v>
      </c>
      <c r="AM11" s="232"/>
      <c r="AN11" s="235">
        <v>0</v>
      </c>
      <c r="AO11" s="232"/>
      <c r="AP11" s="235">
        <v>0</v>
      </c>
      <c r="AQ11" s="232"/>
      <c r="AR11" s="235">
        <v>0</v>
      </c>
      <c r="AS11" s="232"/>
      <c r="AT11" s="235">
        <v>0</v>
      </c>
      <c r="AU11" s="232"/>
      <c r="AV11" s="266">
        <v>51.159075155745789</v>
      </c>
      <c r="AW11" s="263"/>
      <c r="AX11" s="266">
        <v>50.188009535946875</v>
      </c>
      <c r="AY11" s="263"/>
      <c r="AZ11" s="266">
        <v>54.228644153367505</v>
      </c>
      <c r="BA11" s="263"/>
      <c r="BB11" s="266">
        <v>57.840166889720436</v>
      </c>
      <c r="BC11" s="263"/>
      <c r="BD11" s="266">
        <v>63.58820372050031</v>
      </c>
      <c r="BE11" s="263"/>
      <c r="BF11" s="266">
        <v>62.12282088489868</v>
      </c>
      <c r="BG11" s="263"/>
      <c r="BH11" s="266">
        <v>92.134677484530442</v>
      </c>
      <c r="BI11" s="263" t="s">
        <v>178</v>
      </c>
      <c r="BJ11" s="266">
        <v>82.512945197703232</v>
      </c>
      <c r="BK11" s="263"/>
      <c r="BL11" s="192">
        <v>67.493008010496695</v>
      </c>
      <c r="BM11" s="189"/>
      <c r="BN11" s="192">
        <v>68.306822397505712</v>
      </c>
      <c r="BO11" s="189"/>
      <c r="BP11" s="192">
        <v>57.980298997059499</v>
      </c>
      <c r="BQ11" s="189"/>
      <c r="BR11" s="192">
        <v>54.999479406728156</v>
      </c>
      <c r="BS11" s="189"/>
      <c r="BT11" s="206">
        <v>69.992294495122707</v>
      </c>
      <c r="BU11" s="203"/>
      <c r="BV11" s="206">
        <v>68.058226621869636</v>
      </c>
      <c r="BW11" s="203"/>
      <c r="BX11" s="206">
        <v>55.105500263345839</v>
      </c>
      <c r="BY11" s="203"/>
      <c r="BZ11" s="206">
        <v>58.318810180360984</v>
      </c>
      <c r="CA11" s="203"/>
      <c r="CB11" s="206">
        <v>58.685093155689174</v>
      </c>
      <c r="CC11" s="203"/>
      <c r="CD11" s="206">
        <v>63.477633079498212</v>
      </c>
      <c r="CE11" s="203"/>
      <c r="CF11" s="206">
        <v>72.465283742278601</v>
      </c>
      <c r="CG11" s="203" t="s">
        <v>215</v>
      </c>
      <c r="CH11" s="206">
        <v>59.284883779566584</v>
      </c>
      <c r="CI11" s="203"/>
      <c r="CJ11" s="220">
        <v>49.205510027602465</v>
      </c>
      <c r="CK11" s="217"/>
      <c r="CL11" s="220">
        <v>51.992964650372876</v>
      </c>
      <c r="CM11" s="217"/>
      <c r="CN11" s="220">
        <v>75.432002098485384</v>
      </c>
      <c r="CO11" s="217"/>
      <c r="CP11" s="220">
        <v>72.963946120232691</v>
      </c>
      <c r="CQ11" s="217"/>
      <c r="CR11" s="250">
        <v>46.152416593125324</v>
      </c>
      <c r="CS11" s="247"/>
      <c r="CT11" s="250">
        <v>46.132508350369207</v>
      </c>
      <c r="CU11" s="247"/>
      <c r="CV11" s="250">
        <v>69.62634033210432</v>
      </c>
      <c r="CW11" s="247"/>
      <c r="CX11" s="250">
        <v>68.635422388098306</v>
      </c>
      <c r="CY11" s="247"/>
      <c r="CZ11" s="235">
        <v>63.753364432728041</v>
      </c>
      <c r="DA11" s="232"/>
      <c r="DB11" s="235">
        <v>62.194757846332195</v>
      </c>
      <c r="DC11" s="232"/>
      <c r="DD11" s="235">
        <v>51.215675262903773</v>
      </c>
      <c r="DE11" s="232"/>
      <c r="DF11" s="235">
        <v>58.809680183228707</v>
      </c>
      <c r="DG11" s="232"/>
      <c r="DH11" s="235">
        <v>58.465171255410795</v>
      </c>
      <c r="DI11" s="232"/>
      <c r="DJ11" s="235">
        <v>64.52817006281046</v>
      </c>
      <c r="DK11" s="232"/>
      <c r="DL11" s="266">
        <v>73.397598117748188</v>
      </c>
      <c r="DM11" s="263"/>
      <c r="DN11" s="266">
        <v>74.080869334858122</v>
      </c>
      <c r="DO11" s="263"/>
      <c r="DP11" s="266">
        <v>58.570812676902314</v>
      </c>
      <c r="DQ11" s="263"/>
      <c r="DR11" s="266">
        <v>58.853985427013804</v>
      </c>
      <c r="DS11" s="263"/>
      <c r="DT11" s="266">
        <v>54.670384627568197</v>
      </c>
      <c r="DU11" s="263"/>
      <c r="DV11" s="266">
        <v>56.433693915399829</v>
      </c>
      <c r="DW11" s="263"/>
      <c r="DX11" s="192">
        <v>63.592985470436631</v>
      </c>
      <c r="DY11" s="189"/>
      <c r="DZ11" s="192">
        <v>68.35642543825422</v>
      </c>
      <c r="EA11" s="189"/>
      <c r="EB11" s="192">
        <v>68.664095159160283</v>
      </c>
      <c r="EC11" s="189"/>
      <c r="ED11" s="192">
        <v>63.11165776506818</v>
      </c>
      <c r="EE11" s="189"/>
      <c r="EF11" s="192">
        <v>45.778493739721114</v>
      </c>
      <c r="EG11" s="189"/>
      <c r="EH11" s="192">
        <v>48.029881912099121</v>
      </c>
      <c r="EI11" s="189"/>
    </row>
    <row r="12" spans="1:139" outlineLevel="1" x14ac:dyDescent="0.2">
      <c r="A12"/>
      <c r="B12" s="11" t="s">
        <v>57</v>
      </c>
      <c r="C12" s="12">
        <v>11.827526413309878</v>
      </c>
      <c r="D12" s="193">
        <v>10.600537138976762</v>
      </c>
      <c r="E12" s="189"/>
      <c r="F12" s="193">
        <v>13.101120458869243</v>
      </c>
      <c r="G12" s="189"/>
      <c r="H12" s="207">
        <v>16.916202870283584</v>
      </c>
      <c r="I12" s="203"/>
      <c r="J12" s="207">
        <v>21.273834517270139</v>
      </c>
      <c r="K12" s="203"/>
      <c r="L12" s="207">
        <v>0</v>
      </c>
      <c r="M12" s="203"/>
      <c r="N12" s="207">
        <v>0</v>
      </c>
      <c r="O12" s="203"/>
      <c r="P12" s="221">
        <v>15.599062186560428</v>
      </c>
      <c r="Q12" s="217"/>
      <c r="R12" s="221">
        <v>19.187491044827738</v>
      </c>
      <c r="S12" s="217"/>
      <c r="T12" s="221">
        <v>0</v>
      </c>
      <c r="U12" s="217"/>
      <c r="V12" s="221">
        <v>0</v>
      </c>
      <c r="W12" s="217"/>
      <c r="X12" s="251">
        <v>0</v>
      </c>
      <c r="Y12" s="247"/>
      <c r="Z12" s="251">
        <v>0</v>
      </c>
      <c r="AA12" s="247"/>
      <c r="AB12" s="251">
        <v>0</v>
      </c>
      <c r="AC12" s="247"/>
      <c r="AD12" s="251">
        <v>0</v>
      </c>
      <c r="AE12" s="247"/>
      <c r="AF12" s="251">
        <v>0</v>
      </c>
      <c r="AG12" s="247"/>
      <c r="AH12" s="251">
        <v>0</v>
      </c>
      <c r="AI12" s="247"/>
      <c r="AJ12" s="236">
        <v>0</v>
      </c>
      <c r="AK12" s="232"/>
      <c r="AL12" s="236">
        <v>0</v>
      </c>
      <c r="AM12" s="232"/>
      <c r="AN12" s="236">
        <v>0</v>
      </c>
      <c r="AO12" s="232"/>
      <c r="AP12" s="236">
        <v>0</v>
      </c>
      <c r="AQ12" s="232"/>
      <c r="AR12" s="236">
        <v>0</v>
      </c>
      <c r="AS12" s="232"/>
      <c r="AT12" s="236">
        <v>0</v>
      </c>
      <c r="AU12" s="232"/>
      <c r="AV12" s="267">
        <v>14.347722074874053</v>
      </c>
      <c r="AW12" s="263"/>
      <c r="AX12" s="267">
        <v>14.166968905913041</v>
      </c>
      <c r="AY12" s="263"/>
      <c r="AZ12" s="267">
        <v>13.116204524347669</v>
      </c>
      <c r="BA12" s="263"/>
      <c r="BB12" s="267">
        <v>15.744999589501932</v>
      </c>
      <c r="BC12" s="263"/>
      <c r="BD12" s="267">
        <v>8.328771611573055</v>
      </c>
      <c r="BE12" s="263"/>
      <c r="BF12" s="267">
        <v>11.287419694389717</v>
      </c>
      <c r="BG12" s="263"/>
      <c r="BH12" s="267">
        <v>2.9813712611130661</v>
      </c>
      <c r="BI12" s="263"/>
      <c r="BJ12" s="267">
        <v>7.5315519483475502</v>
      </c>
      <c r="BK12" s="263" t="s">
        <v>177</v>
      </c>
      <c r="BL12" s="193">
        <v>13.345878113654967</v>
      </c>
      <c r="BM12" s="189"/>
      <c r="BN12" s="193">
        <v>18.741270185249466</v>
      </c>
      <c r="BO12" s="189" t="s">
        <v>198</v>
      </c>
      <c r="BP12" s="193">
        <v>7.9366937583473316</v>
      </c>
      <c r="BQ12" s="189"/>
      <c r="BR12" s="193">
        <v>7.5782313975540259</v>
      </c>
      <c r="BS12" s="189"/>
      <c r="BT12" s="207">
        <v>12.217367134745263</v>
      </c>
      <c r="BU12" s="203"/>
      <c r="BV12" s="207">
        <v>13.507095731138731</v>
      </c>
      <c r="BW12" s="203"/>
      <c r="BX12" s="207">
        <v>10.747180608655583</v>
      </c>
      <c r="BY12" s="203"/>
      <c r="BZ12" s="207">
        <v>11.06768429976492</v>
      </c>
      <c r="CA12" s="203"/>
      <c r="CB12" s="207">
        <v>7.9607488077520072</v>
      </c>
      <c r="CC12" s="203"/>
      <c r="CD12" s="207">
        <v>13.159695397858956</v>
      </c>
      <c r="CE12" s="203"/>
      <c r="CF12" s="207">
        <v>11.630994180174115</v>
      </c>
      <c r="CG12" s="203"/>
      <c r="CH12" s="207">
        <v>16.012865195439261</v>
      </c>
      <c r="CI12" s="203"/>
      <c r="CJ12" s="221">
        <v>8.1819498193592555</v>
      </c>
      <c r="CK12" s="217"/>
      <c r="CL12" s="221">
        <v>9.3493677009146925</v>
      </c>
      <c r="CM12" s="217"/>
      <c r="CN12" s="221">
        <v>12.580773511927276</v>
      </c>
      <c r="CO12" s="217"/>
      <c r="CP12" s="221">
        <v>17.822968483092254</v>
      </c>
      <c r="CQ12" s="217" t="s">
        <v>217</v>
      </c>
      <c r="CR12" s="251">
        <v>11.097946762366023</v>
      </c>
      <c r="CS12" s="247"/>
      <c r="CT12" s="251">
        <v>11.070069093021438</v>
      </c>
      <c r="CU12" s="247"/>
      <c r="CV12" s="251">
        <v>10.420965974713958</v>
      </c>
      <c r="CW12" s="247"/>
      <c r="CX12" s="251">
        <v>14.083051984705994</v>
      </c>
      <c r="CY12" s="247" t="s">
        <v>221</v>
      </c>
      <c r="CZ12" s="236">
        <v>9.3172494926065941</v>
      </c>
      <c r="DA12" s="232"/>
      <c r="DB12" s="236">
        <v>12.779135868838758</v>
      </c>
      <c r="DC12" s="232" t="s">
        <v>222</v>
      </c>
      <c r="DD12" s="236">
        <v>12.441931739188499</v>
      </c>
      <c r="DE12" s="232"/>
      <c r="DF12" s="236">
        <v>13.965187879434446</v>
      </c>
      <c r="DG12" s="232"/>
      <c r="DH12" s="236">
        <v>16.928942521088178</v>
      </c>
      <c r="DI12" s="232"/>
      <c r="DJ12" s="236">
        <v>20.444780942810898</v>
      </c>
      <c r="DK12" s="232"/>
      <c r="DL12" s="267">
        <v>11.511842168136512</v>
      </c>
      <c r="DM12" s="263"/>
      <c r="DN12" s="267">
        <v>18.770016025935263</v>
      </c>
      <c r="DO12" s="263" t="s">
        <v>228</v>
      </c>
      <c r="DP12" s="267">
        <v>9.9489901949358561</v>
      </c>
      <c r="DQ12" s="263"/>
      <c r="DR12" s="267">
        <v>9.9115364982731826</v>
      </c>
      <c r="DS12" s="263"/>
      <c r="DT12" s="267">
        <v>9.2603175801663618</v>
      </c>
      <c r="DU12" s="263"/>
      <c r="DV12" s="267">
        <v>11.75162103924268</v>
      </c>
      <c r="DW12" s="263"/>
      <c r="DX12" s="193">
        <v>15.107608411459307</v>
      </c>
      <c r="DY12" s="189"/>
      <c r="DZ12" s="193">
        <v>20.614420454117699</v>
      </c>
      <c r="EA12" s="189"/>
      <c r="EB12" s="193">
        <v>9.8555881840877166</v>
      </c>
      <c r="EC12" s="189"/>
      <c r="ED12" s="193">
        <v>10.662891000701142</v>
      </c>
      <c r="EE12" s="189"/>
      <c r="EF12" s="193">
        <v>6.4714787157561213</v>
      </c>
      <c r="EG12" s="189"/>
      <c r="EH12" s="193">
        <v>6.1866713704775478</v>
      </c>
      <c r="EI12" s="189"/>
    </row>
    <row r="13" spans="1:139" outlineLevel="1" x14ac:dyDescent="0.2">
      <c r="A13"/>
      <c r="B13" s="11" t="s">
        <v>58</v>
      </c>
      <c r="C13" s="12">
        <v>8.5191191326753763</v>
      </c>
      <c r="D13" s="193">
        <v>7.3068715417603052</v>
      </c>
      <c r="E13" s="189"/>
      <c r="F13" s="193">
        <v>9.7774115610034524</v>
      </c>
      <c r="G13" s="189"/>
      <c r="H13" s="207">
        <v>11.660213037039583</v>
      </c>
      <c r="I13" s="203"/>
      <c r="J13" s="207">
        <v>15.876736360760404</v>
      </c>
      <c r="K13" s="203" t="s">
        <v>179</v>
      </c>
      <c r="L13" s="207">
        <v>0</v>
      </c>
      <c r="M13" s="203"/>
      <c r="N13" s="207">
        <v>0</v>
      </c>
      <c r="O13" s="203"/>
      <c r="P13" s="221">
        <v>10.75231774341294</v>
      </c>
      <c r="Q13" s="217"/>
      <c r="R13" s="221">
        <v>14.319691003325149</v>
      </c>
      <c r="S13" s="217"/>
      <c r="T13" s="221">
        <v>0</v>
      </c>
      <c r="U13" s="217"/>
      <c r="V13" s="221">
        <v>0</v>
      </c>
      <c r="W13" s="217"/>
      <c r="X13" s="251">
        <v>0</v>
      </c>
      <c r="Y13" s="247"/>
      <c r="Z13" s="251">
        <v>0</v>
      </c>
      <c r="AA13" s="247"/>
      <c r="AB13" s="251">
        <v>0</v>
      </c>
      <c r="AC13" s="247"/>
      <c r="AD13" s="251">
        <v>0</v>
      </c>
      <c r="AE13" s="247"/>
      <c r="AF13" s="251">
        <v>0</v>
      </c>
      <c r="AG13" s="247"/>
      <c r="AH13" s="251">
        <v>0</v>
      </c>
      <c r="AI13" s="247"/>
      <c r="AJ13" s="236">
        <v>0</v>
      </c>
      <c r="AK13" s="232"/>
      <c r="AL13" s="236">
        <v>0</v>
      </c>
      <c r="AM13" s="232"/>
      <c r="AN13" s="236">
        <v>0</v>
      </c>
      <c r="AO13" s="232"/>
      <c r="AP13" s="236">
        <v>0</v>
      </c>
      <c r="AQ13" s="232"/>
      <c r="AR13" s="236">
        <v>0</v>
      </c>
      <c r="AS13" s="232"/>
      <c r="AT13" s="236">
        <v>0</v>
      </c>
      <c r="AU13" s="232"/>
      <c r="AV13" s="267">
        <v>13.318523544591448</v>
      </c>
      <c r="AW13" s="263"/>
      <c r="AX13" s="267">
        <v>11.014171556252577</v>
      </c>
      <c r="AY13" s="263"/>
      <c r="AZ13" s="267">
        <v>7.9411035802179502</v>
      </c>
      <c r="BA13" s="263"/>
      <c r="BB13" s="267">
        <v>13.963042314932139</v>
      </c>
      <c r="BC13" s="263" t="s">
        <v>173</v>
      </c>
      <c r="BD13" s="267">
        <v>4.283556624618913</v>
      </c>
      <c r="BE13" s="263"/>
      <c r="BF13" s="267">
        <v>4.0493296996724197</v>
      </c>
      <c r="BG13" s="263"/>
      <c r="BH13" s="267">
        <v>1.8427447509885115</v>
      </c>
      <c r="BI13" s="263"/>
      <c r="BJ13" s="267">
        <v>3.8677908782221762</v>
      </c>
      <c r="BK13" s="263"/>
      <c r="BL13" s="193">
        <v>6.9150832903154891</v>
      </c>
      <c r="BM13" s="189"/>
      <c r="BN13" s="193">
        <v>10.173517020888056</v>
      </c>
      <c r="BO13" s="189"/>
      <c r="BP13" s="193">
        <v>7.6870292525313655</v>
      </c>
      <c r="BQ13" s="189"/>
      <c r="BR13" s="193">
        <v>9.389541270735835</v>
      </c>
      <c r="BS13" s="189"/>
      <c r="BT13" s="207">
        <v>5.5660420119338943</v>
      </c>
      <c r="BU13" s="203"/>
      <c r="BV13" s="207">
        <v>9.956704013390782</v>
      </c>
      <c r="BW13" s="203"/>
      <c r="BX13" s="207">
        <v>5.6199763301237526</v>
      </c>
      <c r="BY13" s="203"/>
      <c r="BZ13" s="207">
        <v>9.8750299682168183</v>
      </c>
      <c r="CA13" s="203" t="s">
        <v>210</v>
      </c>
      <c r="CB13" s="207">
        <v>8.6933915525468439</v>
      </c>
      <c r="CC13" s="203"/>
      <c r="CD13" s="207">
        <v>8.5462881212522532</v>
      </c>
      <c r="CE13" s="203"/>
      <c r="CF13" s="207">
        <v>10.145415484264024</v>
      </c>
      <c r="CG13" s="203"/>
      <c r="CH13" s="207">
        <v>10.746626055910868</v>
      </c>
      <c r="CI13" s="203"/>
      <c r="CJ13" s="221">
        <v>7.0389443308939645</v>
      </c>
      <c r="CK13" s="217"/>
      <c r="CL13" s="221">
        <v>8.702944169396865</v>
      </c>
      <c r="CM13" s="217"/>
      <c r="CN13" s="221">
        <v>7.6855455030421167</v>
      </c>
      <c r="CO13" s="217"/>
      <c r="CP13" s="221">
        <v>11.679727338164172</v>
      </c>
      <c r="CQ13" s="217" t="s">
        <v>217</v>
      </c>
      <c r="CR13" s="251">
        <v>10.195389241242282</v>
      </c>
      <c r="CS13" s="247"/>
      <c r="CT13" s="251">
        <v>6.1461440285085516</v>
      </c>
      <c r="CU13" s="247"/>
      <c r="CV13" s="251">
        <v>6.111484916830757</v>
      </c>
      <c r="CW13" s="247"/>
      <c r="CX13" s="251">
        <v>11.295730246131233</v>
      </c>
      <c r="CY13" s="247" t="s">
        <v>221</v>
      </c>
      <c r="CZ13" s="236">
        <v>6.9767627658697231</v>
      </c>
      <c r="DA13" s="232"/>
      <c r="DB13" s="236">
        <v>8.0387949023721266</v>
      </c>
      <c r="DC13" s="232"/>
      <c r="DD13" s="236">
        <v>6.893403692124358</v>
      </c>
      <c r="DE13" s="232"/>
      <c r="DF13" s="236">
        <v>14.053601730937848</v>
      </c>
      <c r="DG13" s="232" t="s">
        <v>224</v>
      </c>
      <c r="DH13" s="236">
        <v>7.5584779044953665</v>
      </c>
      <c r="DI13" s="232"/>
      <c r="DJ13" s="236">
        <v>12.738496696640691</v>
      </c>
      <c r="DK13" s="232"/>
      <c r="DL13" s="267">
        <v>7.1914542686934899</v>
      </c>
      <c r="DM13" s="263"/>
      <c r="DN13" s="267">
        <v>11.869578788061597</v>
      </c>
      <c r="DO13" s="263" t="s">
        <v>228</v>
      </c>
      <c r="DP13" s="267">
        <v>7.1922276672162369</v>
      </c>
      <c r="DQ13" s="263"/>
      <c r="DR13" s="267">
        <v>9.4200682603453796</v>
      </c>
      <c r="DS13" s="263"/>
      <c r="DT13" s="267">
        <v>6.9702220318691044</v>
      </c>
      <c r="DU13" s="263"/>
      <c r="DV13" s="267">
        <v>6.9474097935853658</v>
      </c>
      <c r="DW13" s="263"/>
      <c r="DX13" s="193">
        <v>6.6510290217756696</v>
      </c>
      <c r="DY13" s="189"/>
      <c r="DZ13" s="193">
        <v>16.59197806808552</v>
      </c>
      <c r="EA13" s="189" t="s">
        <v>234</v>
      </c>
      <c r="EB13" s="193">
        <v>7.3463030783585328</v>
      </c>
      <c r="EC13" s="189"/>
      <c r="ED13" s="193">
        <v>7.8555322380892632</v>
      </c>
      <c r="EE13" s="189"/>
      <c r="EF13" s="193">
        <v>8.087474360954495</v>
      </c>
      <c r="EG13" s="189" t="s">
        <v>239</v>
      </c>
      <c r="EH13" s="193">
        <v>2.9371326140952232</v>
      </c>
      <c r="EI13" s="189"/>
    </row>
    <row r="14" spans="1:139" outlineLevel="1" x14ac:dyDescent="0.2">
      <c r="A14"/>
      <c r="B14" s="11" t="s">
        <v>59</v>
      </c>
      <c r="C14" s="12">
        <v>41.787559927614318</v>
      </c>
      <c r="D14" s="193">
        <v>44.757583104142455</v>
      </c>
      <c r="E14" s="189" t="s">
        <v>170</v>
      </c>
      <c r="F14" s="193">
        <v>38.70472626971177</v>
      </c>
      <c r="G14" s="189"/>
      <c r="H14" s="207">
        <v>71.423584092676833</v>
      </c>
      <c r="I14" s="203" t="s">
        <v>180</v>
      </c>
      <c r="J14" s="207">
        <v>62.849429121969457</v>
      </c>
      <c r="K14" s="203"/>
      <c r="L14" s="207">
        <v>0</v>
      </c>
      <c r="M14" s="203"/>
      <c r="N14" s="207">
        <v>0</v>
      </c>
      <c r="O14" s="203"/>
      <c r="P14" s="221">
        <v>65.862353294774394</v>
      </c>
      <c r="Q14" s="217" t="s">
        <v>184</v>
      </c>
      <c r="R14" s="221">
        <v>56.685730890279991</v>
      </c>
      <c r="S14" s="217"/>
      <c r="T14" s="221">
        <v>0</v>
      </c>
      <c r="U14" s="217"/>
      <c r="V14" s="221">
        <v>0</v>
      </c>
      <c r="W14" s="217"/>
      <c r="X14" s="251">
        <v>0</v>
      </c>
      <c r="Y14" s="247"/>
      <c r="Z14" s="251">
        <v>0</v>
      </c>
      <c r="AA14" s="247"/>
      <c r="AB14" s="251">
        <v>0</v>
      </c>
      <c r="AC14" s="247"/>
      <c r="AD14" s="251">
        <v>0</v>
      </c>
      <c r="AE14" s="247"/>
      <c r="AF14" s="251">
        <v>0</v>
      </c>
      <c r="AG14" s="247"/>
      <c r="AH14" s="251">
        <v>0</v>
      </c>
      <c r="AI14" s="247"/>
      <c r="AJ14" s="236">
        <v>0</v>
      </c>
      <c r="AK14" s="232"/>
      <c r="AL14" s="236">
        <v>0</v>
      </c>
      <c r="AM14" s="232"/>
      <c r="AN14" s="236">
        <v>0</v>
      </c>
      <c r="AO14" s="232"/>
      <c r="AP14" s="236">
        <v>0</v>
      </c>
      <c r="AQ14" s="232"/>
      <c r="AR14" s="236">
        <v>0</v>
      </c>
      <c r="AS14" s="232"/>
      <c r="AT14" s="236">
        <v>0</v>
      </c>
      <c r="AU14" s="232"/>
      <c r="AV14" s="267">
        <v>23.492829536280286</v>
      </c>
      <c r="AW14" s="263"/>
      <c r="AX14" s="267">
        <v>25.006869073781257</v>
      </c>
      <c r="AY14" s="263"/>
      <c r="AZ14" s="267">
        <v>33.171336048801884</v>
      </c>
      <c r="BA14" s="263"/>
      <c r="BB14" s="267">
        <v>28.132124985286364</v>
      </c>
      <c r="BC14" s="263"/>
      <c r="BD14" s="267">
        <v>50.975875484308339</v>
      </c>
      <c r="BE14" s="263"/>
      <c r="BF14" s="267">
        <v>46.786071490836541</v>
      </c>
      <c r="BG14" s="263"/>
      <c r="BH14" s="267">
        <v>87.310561472428859</v>
      </c>
      <c r="BI14" s="263" t="s">
        <v>178</v>
      </c>
      <c r="BJ14" s="267">
        <v>71.11360237113351</v>
      </c>
      <c r="BK14" s="263"/>
      <c r="BL14" s="193">
        <v>47.232046606526247</v>
      </c>
      <c r="BM14" s="189" t="s">
        <v>199</v>
      </c>
      <c r="BN14" s="193">
        <v>39.392035191368194</v>
      </c>
      <c r="BO14" s="189"/>
      <c r="BP14" s="193">
        <v>42.3565759861808</v>
      </c>
      <c r="BQ14" s="189"/>
      <c r="BR14" s="193">
        <v>38.031706738438295</v>
      </c>
      <c r="BS14" s="189"/>
      <c r="BT14" s="207">
        <v>52.208885348443559</v>
      </c>
      <c r="BU14" s="203"/>
      <c r="BV14" s="207">
        <v>44.594426877340119</v>
      </c>
      <c r="BW14" s="203"/>
      <c r="BX14" s="207">
        <v>38.7383433245665</v>
      </c>
      <c r="BY14" s="203"/>
      <c r="BZ14" s="207">
        <v>37.376095912379249</v>
      </c>
      <c r="CA14" s="203"/>
      <c r="CB14" s="207">
        <v>42.03095279539032</v>
      </c>
      <c r="CC14" s="203"/>
      <c r="CD14" s="207">
        <v>41.771649560387004</v>
      </c>
      <c r="CE14" s="203"/>
      <c r="CF14" s="207">
        <v>50.68887407784046</v>
      </c>
      <c r="CG14" s="203" t="s">
        <v>215</v>
      </c>
      <c r="CH14" s="207">
        <v>32.525392528216457</v>
      </c>
      <c r="CI14" s="203"/>
      <c r="CJ14" s="221">
        <v>33.984615877349242</v>
      </c>
      <c r="CK14" s="217"/>
      <c r="CL14" s="221">
        <v>33.94065278006132</v>
      </c>
      <c r="CM14" s="217"/>
      <c r="CN14" s="221">
        <v>55.165683083515987</v>
      </c>
      <c r="CO14" s="217" t="s">
        <v>218</v>
      </c>
      <c r="CP14" s="221">
        <v>43.461250298976275</v>
      </c>
      <c r="CQ14" s="217"/>
      <c r="CR14" s="251">
        <v>24.859080589517017</v>
      </c>
      <c r="CS14" s="247"/>
      <c r="CT14" s="251">
        <v>28.916295228839218</v>
      </c>
      <c r="CU14" s="247"/>
      <c r="CV14" s="251">
        <v>53.093889440559607</v>
      </c>
      <c r="CW14" s="247" t="s">
        <v>166</v>
      </c>
      <c r="CX14" s="251">
        <v>43.256640157261074</v>
      </c>
      <c r="CY14" s="247"/>
      <c r="CZ14" s="236">
        <v>47.459352174251727</v>
      </c>
      <c r="DA14" s="232" t="s">
        <v>223</v>
      </c>
      <c r="DB14" s="236">
        <v>41.376827075121312</v>
      </c>
      <c r="DC14" s="232"/>
      <c r="DD14" s="236">
        <v>31.880339831590913</v>
      </c>
      <c r="DE14" s="232"/>
      <c r="DF14" s="236">
        <v>30.790890572856416</v>
      </c>
      <c r="DG14" s="232"/>
      <c r="DH14" s="236">
        <v>33.977750829827244</v>
      </c>
      <c r="DI14" s="232"/>
      <c r="DJ14" s="236">
        <v>31.344892423358864</v>
      </c>
      <c r="DK14" s="232"/>
      <c r="DL14" s="267">
        <v>54.694301680918187</v>
      </c>
      <c r="DM14" s="263" t="s">
        <v>229</v>
      </c>
      <c r="DN14" s="267">
        <v>43.441274520861256</v>
      </c>
      <c r="DO14" s="263"/>
      <c r="DP14" s="267">
        <v>41.429594814750217</v>
      </c>
      <c r="DQ14" s="263"/>
      <c r="DR14" s="267">
        <v>39.522380668395243</v>
      </c>
      <c r="DS14" s="263"/>
      <c r="DT14" s="267">
        <v>38.439845015532725</v>
      </c>
      <c r="DU14" s="263"/>
      <c r="DV14" s="267">
        <v>37.734663082571778</v>
      </c>
      <c r="DW14" s="263"/>
      <c r="DX14" s="193">
        <v>41.834348037201657</v>
      </c>
      <c r="DY14" s="189" t="s">
        <v>235</v>
      </c>
      <c r="DZ14" s="193">
        <v>31.150026916050997</v>
      </c>
      <c r="EA14" s="189"/>
      <c r="EB14" s="193">
        <v>51.46220389671403</v>
      </c>
      <c r="EC14" s="189" t="s">
        <v>237</v>
      </c>
      <c r="ED14" s="193">
        <v>44.593234526277776</v>
      </c>
      <c r="EE14" s="189"/>
      <c r="EF14" s="193">
        <v>31.219540663010498</v>
      </c>
      <c r="EG14" s="189"/>
      <c r="EH14" s="193">
        <v>38.906077927526347</v>
      </c>
      <c r="EI14" s="189"/>
    </row>
    <row r="15" spans="1:139" outlineLevel="1" x14ac:dyDescent="0.2">
      <c r="A15"/>
      <c r="B15" s="7"/>
      <c r="E15" s="187"/>
      <c r="G15" s="187"/>
      <c r="I15" s="201"/>
      <c r="K15" s="201"/>
      <c r="M15" s="201"/>
      <c r="O15" s="201"/>
      <c r="Q15" s="215"/>
      <c r="S15" s="215"/>
      <c r="U15" s="215"/>
      <c r="W15" s="215"/>
      <c r="Y15" s="245"/>
      <c r="AA15" s="245"/>
      <c r="AC15" s="245"/>
      <c r="AE15" s="245"/>
      <c r="AG15" s="245"/>
      <c r="AI15" s="245"/>
      <c r="AK15" s="230"/>
      <c r="AM15" s="230"/>
      <c r="AO15" s="230"/>
      <c r="AQ15" s="230"/>
      <c r="AS15" s="230"/>
      <c r="AU15" s="230"/>
      <c r="AW15" s="261"/>
      <c r="AY15" s="261"/>
      <c r="BA15" s="261"/>
      <c r="BC15" s="261"/>
      <c r="BE15" s="261"/>
      <c r="BG15" s="261"/>
      <c r="BI15" s="261"/>
      <c r="BK15" s="261"/>
      <c r="BM15" s="187"/>
      <c r="BO15" s="187"/>
      <c r="BQ15" s="187"/>
      <c r="BS15" s="187"/>
      <c r="BU15" s="201"/>
      <c r="BW15" s="201"/>
      <c r="BY15" s="201"/>
      <c r="CA15" s="201"/>
      <c r="CC15" s="201"/>
      <c r="CE15" s="201"/>
      <c r="CG15" s="201"/>
      <c r="CI15" s="201"/>
      <c r="CK15" s="215"/>
      <c r="CM15" s="215"/>
      <c r="CO15" s="215"/>
      <c r="CQ15" s="215"/>
      <c r="CS15" s="245"/>
      <c r="CU15" s="245"/>
      <c r="CW15" s="245"/>
      <c r="CY15" s="245"/>
      <c r="DA15" s="230"/>
      <c r="DC15" s="230"/>
      <c r="DE15" s="230"/>
      <c r="DG15" s="230"/>
      <c r="DI15" s="230"/>
      <c r="DK15" s="230"/>
      <c r="DM15" s="261"/>
      <c r="DO15" s="261"/>
      <c r="DQ15" s="261"/>
      <c r="DS15" s="261"/>
      <c r="DU15" s="261"/>
      <c r="DW15" s="261"/>
      <c r="DY15" s="187"/>
      <c r="EA15" s="187"/>
      <c r="EC15" s="187"/>
      <c r="EE15" s="187"/>
      <c r="EG15" s="187"/>
      <c r="EI15" s="187"/>
    </row>
    <row r="16" spans="1:139" outlineLevel="1" x14ac:dyDescent="0.2">
      <c r="A16"/>
      <c r="B16" s="13" t="s">
        <v>60</v>
      </c>
      <c r="C16" s="12">
        <v>37.865794526400428</v>
      </c>
      <c r="D16" s="193">
        <v>37.335008215120475</v>
      </c>
      <c r="E16" s="189"/>
      <c r="F16" s="193">
        <v>38.416741710415536</v>
      </c>
      <c r="G16" s="189"/>
      <c r="H16" s="207">
        <v>0</v>
      </c>
      <c r="I16" s="203"/>
      <c r="J16" s="207">
        <v>0</v>
      </c>
      <c r="K16" s="203"/>
      <c r="L16" s="207">
        <v>100</v>
      </c>
      <c r="M16" s="203"/>
      <c r="N16" s="207">
        <v>100</v>
      </c>
      <c r="O16" s="203"/>
      <c r="P16" s="221">
        <v>7.7862667752522352</v>
      </c>
      <c r="Q16" s="217"/>
      <c r="R16" s="221">
        <v>9.8070870615671186</v>
      </c>
      <c r="S16" s="217"/>
      <c r="T16" s="221">
        <v>100</v>
      </c>
      <c r="U16" s="217"/>
      <c r="V16" s="221">
        <v>100</v>
      </c>
      <c r="W16" s="217"/>
      <c r="X16" s="251">
        <v>100</v>
      </c>
      <c r="Y16" s="247"/>
      <c r="Z16" s="251">
        <v>100</v>
      </c>
      <c r="AA16" s="247"/>
      <c r="AB16" s="251">
        <v>100.00000000000001</v>
      </c>
      <c r="AC16" s="247"/>
      <c r="AD16" s="251">
        <v>100</v>
      </c>
      <c r="AE16" s="247"/>
      <c r="AF16" s="251">
        <v>100</v>
      </c>
      <c r="AG16" s="247"/>
      <c r="AH16" s="251">
        <v>100</v>
      </c>
      <c r="AI16" s="247"/>
      <c r="AJ16" s="236">
        <v>100.00000000000001</v>
      </c>
      <c r="AK16" s="232"/>
      <c r="AL16" s="236">
        <v>100</v>
      </c>
      <c r="AM16" s="232"/>
      <c r="AN16" s="236">
        <v>100</v>
      </c>
      <c r="AO16" s="232"/>
      <c r="AP16" s="236">
        <v>100</v>
      </c>
      <c r="AQ16" s="232"/>
      <c r="AR16" s="236">
        <v>100</v>
      </c>
      <c r="AS16" s="232"/>
      <c r="AT16" s="236">
        <v>100</v>
      </c>
      <c r="AU16" s="232"/>
      <c r="AV16" s="267">
        <v>48.840924844254218</v>
      </c>
      <c r="AW16" s="263"/>
      <c r="AX16" s="267">
        <v>49.811990464053117</v>
      </c>
      <c r="AY16" s="263"/>
      <c r="AZ16" s="267">
        <v>45.771355846632488</v>
      </c>
      <c r="BA16" s="263"/>
      <c r="BB16" s="267">
        <v>42.159833110279564</v>
      </c>
      <c r="BC16" s="263"/>
      <c r="BD16" s="267">
        <v>36.41179627949969</v>
      </c>
      <c r="BE16" s="263"/>
      <c r="BF16" s="267">
        <v>37.87717911510132</v>
      </c>
      <c r="BG16" s="263"/>
      <c r="BH16" s="267">
        <v>7.8653225154695692</v>
      </c>
      <c r="BI16" s="263"/>
      <c r="BJ16" s="267">
        <v>17.487054802296761</v>
      </c>
      <c r="BK16" s="263" t="s">
        <v>177</v>
      </c>
      <c r="BL16" s="193">
        <v>32.506991989503305</v>
      </c>
      <c r="BM16" s="189"/>
      <c r="BN16" s="193">
        <v>31.693177602494284</v>
      </c>
      <c r="BO16" s="189"/>
      <c r="BP16" s="193">
        <v>42.019701002940501</v>
      </c>
      <c r="BQ16" s="189"/>
      <c r="BR16" s="193">
        <v>45.000520593271851</v>
      </c>
      <c r="BS16" s="189"/>
      <c r="BT16" s="207">
        <v>30.00770550487729</v>
      </c>
      <c r="BU16" s="203"/>
      <c r="BV16" s="207">
        <v>31.941773378130364</v>
      </c>
      <c r="BW16" s="203"/>
      <c r="BX16" s="207">
        <v>44.894499736654161</v>
      </c>
      <c r="BY16" s="203"/>
      <c r="BZ16" s="207">
        <v>41.681189819639023</v>
      </c>
      <c r="CA16" s="203"/>
      <c r="CB16" s="207">
        <v>41.314906844310833</v>
      </c>
      <c r="CC16" s="203"/>
      <c r="CD16" s="207">
        <v>36.522366920501781</v>
      </c>
      <c r="CE16" s="203"/>
      <c r="CF16" s="207">
        <v>27.534716257721406</v>
      </c>
      <c r="CG16" s="203"/>
      <c r="CH16" s="207">
        <v>40.715116220433416</v>
      </c>
      <c r="CI16" s="203" t="s">
        <v>214</v>
      </c>
      <c r="CJ16" s="221">
        <v>50.794489972397535</v>
      </c>
      <c r="CK16" s="217"/>
      <c r="CL16" s="221">
        <v>48.007035349627124</v>
      </c>
      <c r="CM16" s="217"/>
      <c r="CN16" s="221">
        <v>24.567997901514623</v>
      </c>
      <c r="CO16" s="217"/>
      <c r="CP16" s="221">
        <v>27.036053879767298</v>
      </c>
      <c r="CQ16" s="217"/>
      <c r="CR16" s="251">
        <v>53.847583406874676</v>
      </c>
      <c r="CS16" s="247"/>
      <c r="CT16" s="251">
        <v>53.8674916496308</v>
      </c>
      <c r="CU16" s="247"/>
      <c r="CV16" s="251">
        <v>30.373659667895666</v>
      </c>
      <c r="CW16" s="247"/>
      <c r="CX16" s="251">
        <v>31.364577611901691</v>
      </c>
      <c r="CY16" s="247"/>
      <c r="CZ16" s="236">
        <v>36.246635567271966</v>
      </c>
      <c r="DA16" s="232"/>
      <c r="DB16" s="236">
        <v>37.805242153667812</v>
      </c>
      <c r="DC16" s="232"/>
      <c r="DD16" s="236">
        <v>48.784324737096227</v>
      </c>
      <c r="DE16" s="232"/>
      <c r="DF16" s="236">
        <v>41.190319816771293</v>
      </c>
      <c r="DG16" s="232"/>
      <c r="DH16" s="236">
        <v>41.534828744589205</v>
      </c>
      <c r="DI16" s="232"/>
      <c r="DJ16" s="236">
        <v>35.471829937189554</v>
      </c>
      <c r="DK16" s="232"/>
      <c r="DL16" s="267">
        <v>26.602401882251808</v>
      </c>
      <c r="DM16" s="263"/>
      <c r="DN16" s="267">
        <v>25.919130665141889</v>
      </c>
      <c r="DO16" s="263"/>
      <c r="DP16" s="267">
        <v>41.429187323097686</v>
      </c>
      <c r="DQ16" s="263"/>
      <c r="DR16" s="267">
        <v>41.146014572986196</v>
      </c>
      <c r="DS16" s="263"/>
      <c r="DT16" s="267">
        <v>45.32961537243181</v>
      </c>
      <c r="DU16" s="263"/>
      <c r="DV16" s="267">
        <v>43.566306084600178</v>
      </c>
      <c r="DW16" s="263"/>
      <c r="DX16" s="193">
        <v>36.407014529563369</v>
      </c>
      <c r="DY16" s="189"/>
      <c r="DZ16" s="193">
        <v>31.64357456174579</v>
      </c>
      <c r="EA16" s="189"/>
      <c r="EB16" s="193">
        <v>31.335904840839721</v>
      </c>
      <c r="EC16" s="189"/>
      <c r="ED16" s="193">
        <v>36.88834223493182</v>
      </c>
      <c r="EE16" s="189"/>
      <c r="EF16" s="193">
        <v>54.221506260278886</v>
      </c>
      <c r="EG16" s="189"/>
      <c r="EH16" s="193">
        <v>51.970118087900872</v>
      </c>
      <c r="EI16" s="189"/>
    </row>
    <row r="17" spans="1:139" outlineLevel="1" x14ac:dyDescent="0.2">
      <c r="A17"/>
      <c r="B17"/>
      <c r="E17" s="187"/>
      <c r="G17" s="187"/>
      <c r="I17" s="201"/>
      <c r="K17" s="201"/>
      <c r="M17" s="201"/>
      <c r="O17" s="201"/>
      <c r="Q17" s="215"/>
      <c r="S17" s="215"/>
      <c r="U17" s="215"/>
      <c r="W17" s="215"/>
      <c r="Y17" s="245"/>
      <c r="AA17" s="245"/>
      <c r="AC17" s="245"/>
      <c r="AE17" s="245"/>
      <c r="AG17" s="245"/>
      <c r="AI17" s="245"/>
      <c r="AK17" s="230"/>
      <c r="AM17" s="230"/>
      <c r="AO17" s="230"/>
      <c r="AQ17" s="230"/>
      <c r="AS17" s="230"/>
      <c r="AU17" s="230"/>
      <c r="AW17" s="261"/>
      <c r="AY17" s="261"/>
      <c r="BA17" s="261"/>
      <c r="BC17" s="261"/>
      <c r="BE17" s="261"/>
      <c r="BG17" s="261"/>
      <c r="BI17" s="261"/>
      <c r="BK17" s="261"/>
      <c r="BM17" s="187"/>
      <c r="BO17" s="187"/>
      <c r="BQ17" s="187"/>
      <c r="BS17" s="187"/>
      <c r="BU17" s="201"/>
      <c r="BW17" s="201"/>
      <c r="BY17" s="201"/>
      <c r="CA17" s="201"/>
      <c r="CC17" s="201"/>
      <c r="CE17" s="201"/>
      <c r="CG17" s="201"/>
      <c r="CI17" s="201"/>
      <c r="CK17" s="215"/>
      <c r="CM17" s="215"/>
      <c r="CO17" s="215"/>
      <c r="CQ17" s="215"/>
      <c r="CS17" s="245"/>
      <c r="CU17" s="245"/>
      <c r="CW17" s="245"/>
      <c r="CY17" s="245"/>
      <c r="DA17" s="230"/>
      <c r="DC17" s="230"/>
      <c r="DE17" s="230"/>
      <c r="DG17" s="230"/>
      <c r="DI17" s="230"/>
      <c r="DK17" s="230"/>
      <c r="DM17" s="261"/>
      <c r="DO17" s="261"/>
      <c r="DQ17" s="261"/>
      <c r="DS17" s="261"/>
      <c r="DU17" s="261"/>
      <c r="DW17" s="261"/>
      <c r="DY17" s="187"/>
      <c r="EA17" s="187"/>
      <c r="EC17" s="187"/>
      <c r="EE17" s="187"/>
      <c r="EG17" s="187"/>
      <c r="EI17" s="187"/>
    </row>
    <row r="18" spans="1:139" x14ac:dyDescent="0.2">
      <c r="A18"/>
      <c r="B18"/>
      <c r="E18" s="187"/>
      <c r="G18" s="187"/>
      <c r="I18" s="201"/>
      <c r="K18" s="201"/>
      <c r="M18" s="201"/>
      <c r="O18" s="201"/>
      <c r="Q18" s="215"/>
      <c r="S18" s="215"/>
      <c r="U18" s="215"/>
      <c r="W18" s="215"/>
      <c r="Y18" s="245"/>
      <c r="AA18" s="245"/>
      <c r="AC18" s="245"/>
      <c r="AE18" s="245"/>
      <c r="AG18" s="245"/>
      <c r="AI18" s="245"/>
      <c r="AK18" s="230"/>
      <c r="AM18" s="230"/>
      <c r="AO18" s="230"/>
      <c r="AQ18" s="230"/>
      <c r="AS18" s="230"/>
      <c r="AU18" s="230"/>
      <c r="AW18" s="261"/>
      <c r="AY18" s="261"/>
      <c r="BA18" s="261"/>
      <c r="BC18" s="261"/>
      <c r="BE18" s="261"/>
      <c r="BG18" s="261"/>
      <c r="BI18" s="261"/>
      <c r="BK18" s="261"/>
      <c r="BM18" s="187"/>
      <c r="BO18" s="187"/>
      <c r="BQ18" s="187"/>
      <c r="BS18" s="187"/>
      <c r="BU18" s="201"/>
      <c r="BW18" s="201"/>
      <c r="BY18" s="201"/>
      <c r="CA18" s="201"/>
      <c r="CC18" s="201"/>
      <c r="CE18" s="201"/>
      <c r="CG18" s="201"/>
      <c r="CI18" s="201"/>
      <c r="CK18" s="215"/>
      <c r="CM18" s="215"/>
      <c r="CO18" s="215"/>
      <c r="CQ18" s="215"/>
      <c r="CS18" s="245"/>
      <c r="CU18" s="245"/>
      <c r="CW18" s="245"/>
      <c r="CY18" s="245"/>
      <c r="DA18" s="230"/>
      <c r="DC18" s="230"/>
      <c r="DE18" s="230"/>
      <c r="DG18" s="230"/>
      <c r="DI18" s="230"/>
      <c r="DK18" s="230"/>
      <c r="DM18" s="261"/>
      <c r="DO18" s="261"/>
      <c r="DQ18" s="261"/>
      <c r="DS18" s="261"/>
      <c r="DU18" s="261"/>
      <c r="DW18" s="261"/>
      <c r="DY18" s="187"/>
      <c r="EA18" s="187"/>
      <c r="EC18" s="187"/>
      <c r="EE18" s="187"/>
      <c r="EG18" s="187"/>
      <c r="EI18" s="187"/>
    </row>
    <row r="19" spans="1:139" x14ac:dyDescent="0.2">
      <c r="A19" s="6" t="s">
        <v>61</v>
      </c>
      <c r="B19" s="7" t="s">
        <v>62</v>
      </c>
      <c r="E19" s="187"/>
      <c r="G19" s="187"/>
      <c r="I19" s="201"/>
      <c r="K19" s="201"/>
      <c r="M19" s="201"/>
      <c r="O19" s="201"/>
      <c r="Q19" s="215"/>
      <c r="S19" s="215"/>
      <c r="U19" s="215"/>
      <c r="W19" s="215"/>
      <c r="Y19" s="245"/>
      <c r="AA19" s="245"/>
      <c r="AC19" s="245"/>
      <c r="AE19" s="245"/>
      <c r="AG19" s="245"/>
      <c r="AI19" s="245"/>
      <c r="AK19" s="230"/>
      <c r="AM19" s="230"/>
      <c r="AO19" s="230"/>
      <c r="AQ19" s="230"/>
      <c r="AS19" s="230"/>
      <c r="AU19" s="230"/>
      <c r="AW19" s="261"/>
      <c r="AY19" s="261"/>
      <c r="BA19" s="261"/>
      <c r="BC19" s="261"/>
      <c r="BE19" s="261"/>
      <c r="BG19" s="261"/>
      <c r="BI19" s="261"/>
      <c r="BK19" s="261"/>
      <c r="BM19" s="187"/>
      <c r="BO19" s="187"/>
      <c r="BQ19" s="187"/>
      <c r="BS19" s="187"/>
      <c r="BU19" s="201"/>
      <c r="BW19" s="201"/>
      <c r="BY19" s="201"/>
      <c r="CA19" s="201"/>
      <c r="CC19" s="201"/>
      <c r="CE19" s="201"/>
      <c r="CG19" s="201"/>
      <c r="CI19" s="201"/>
      <c r="CK19" s="215"/>
      <c r="CM19" s="215"/>
      <c r="CO19" s="215"/>
      <c r="CQ19" s="215"/>
      <c r="CS19" s="245"/>
      <c r="CU19" s="245"/>
      <c r="CW19" s="245"/>
      <c r="CY19" s="245"/>
      <c r="DA19" s="230"/>
      <c r="DC19" s="230"/>
      <c r="DE19" s="230"/>
      <c r="DG19" s="230"/>
      <c r="DI19" s="230"/>
      <c r="DK19" s="230"/>
      <c r="DM19" s="261"/>
      <c r="DO19" s="261"/>
      <c r="DQ19" s="261"/>
      <c r="DS19" s="261"/>
      <c r="DU19" s="261"/>
      <c r="DW19" s="261"/>
      <c r="DY19" s="187"/>
      <c r="EA19" s="187"/>
      <c r="EC19" s="187"/>
      <c r="EE19" s="187"/>
      <c r="EG19" s="187"/>
      <c r="EI19" s="187"/>
    </row>
    <row r="20" spans="1:139" outlineLevel="1" x14ac:dyDescent="0.2">
      <c r="A20"/>
      <c r="B20" s="9" t="s">
        <v>63</v>
      </c>
      <c r="C20" s="8">
        <f>697.229271339924+34.7707286600755</f>
        <v>731.99999999999955</v>
      </c>
      <c r="D20" s="188">
        <f>352.928444129701+12.0715558702993</f>
        <v>365.00000000000028</v>
      </c>
      <c r="E20" s="189"/>
      <c r="F20" s="188">
        <f>344.344915978557+22.6550840214431</f>
        <v>367.00000000000011</v>
      </c>
      <c r="G20" s="189"/>
      <c r="H20" s="202">
        <f>0+0</f>
        <v>0</v>
      </c>
      <c r="I20" s="203"/>
      <c r="J20" s="202">
        <f>0+0</f>
        <v>0</v>
      </c>
      <c r="K20" s="203"/>
      <c r="L20" s="202">
        <f>352.928444129701+12.0715558702993</f>
        <v>365.00000000000028</v>
      </c>
      <c r="M20" s="203"/>
      <c r="N20" s="202">
        <f>344.344915978557+22.6550840214431</f>
        <v>367.00000000000011</v>
      </c>
      <c r="O20" s="203"/>
      <c r="P20" s="216">
        <f>51.2287166666667+1.77128333333333</f>
        <v>53.000000000000028</v>
      </c>
      <c r="Q20" s="217"/>
      <c r="R20" s="216">
        <f>57.3559380528055+4.64406194719454</f>
        <v>62.000000000000043</v>
      </c>
      <c r="S20" s="217"/>
      <c r="T20" s="216">
        <f>301.732918900987+10.2670810990132</f>
        <v>312.00000000000017</v>
      </c>
      <c r="U20" s="217"/>
      <c r="V20" s="216">
        <f>287.140440951688+17.8595590483123</f>
        <v>305.00000000000028</v>
      </c>
      <c r="W20" s="217"/>
      <c r="X20" s="246">
        <f>108.171904333963+4.82809566603692</f>
        <v>112.99999999999991</v>
      </c>
      <c r="Y20" s="247"/>
      <c r="Z20" s="246">
        <f>100.435584999034+3.56441500096641</f>
        <v>104.00000000000041</v>
      </c>
      <c r="AA20" s="247"/>
      <c r="AB20" s="246">
        <f>97.1245187341028+1.87548126589725</f>
        <v>99.000000000000043</v>
      </c>
      <c r="AC20" s="247"/>
      <c r="AD20" s="246">
        <f>89.7922517565178+7.20774824348219</f>
        <v>96.999999999999986</v>
      </c>
      <c r="AE20" s="247"/>
      <c r="AF20" s="246">
        <f>83.2058580005259+5.79414199947415</f>
        <v>89.000000000000043</v>
      </c>
      <c r="AG20" s="247"/>
      <c r="AH20" s="246">
        <f>105.139139086837+4.86086091316319</f>
        <v>110.0000000000002</v>
      </c>
      <c r="AI20" s="247"/>
      <c r="AJ20" s="231">
        <f>81.347414494191+3.65258550580896</f>
        <v>84.999999999999957</v>
      </c>
      <c r="AK20" s="232"/>
      <c r="AL20" s="231">
        <f>86.7773955885698+3.22260441143024</f>
        <v>90.000000000000043</v>
      </c>
      <c r="AM20" s="232"/>
      <c r="AN20" s="231">
        <f>91.2486792832434+1.75132071675662</f>
        <v>93.000000000000028</v>
      </c>
      <c r="AO20" s="232"/>
      <c r="AP20" s="231">
        <f>61.5558959595598+3.44410404044016</f>
        <v>64.999999999999957</v>
      </c>
      <c r="AQ20" s="232"/>
      <c r="AR20" s="231">
        <f>72.5600476663241+5.43995233367595</f>
        <v>78.000000000000043</v>
      </c>
      <c r="AS20" s="232"/>
      <c r="AT20" s="231">
        <f>96.2370441283936+4.76295587160638</f>
        <v>100.99999999999999</v>
      </c>
      <c r="AU20" s="232"/>
      <c r="AV20" s="262">
        <f>98.2175316697926+3.78246833020738</f>
        <v>101.99999999999999</v>
      </c>
      <c r="AW20" s="263"/>
      <c r="AX20" s="262">
        <f>111.212121090461+3.78787890953862</f>
        <v>114.99999999999962</v>
      </c>
      <c r="AY20" s="263"/>
      <c r="AZ20" s="262">
        <f>182.625386094129+5.37461390587058</f>
        <v>187.99999999999957</v>
      </c>
      <c r="BA20" s="263"/>
      <c r="BB20" s="262">
        <f>143.59437549496+11.40562450504</f>
        <v>155</v>
      </c>
      <c r="BC20" s="263"/>
      <c r="BD20" s="262">
        <f>55.0827909055902+1.91720909440984</f>
        <v>57.000000000000043</v>
      </c>
      <c r="BE20" s="263"/>
      <c r="BF20" s="262">
        <f>59.9466521560026+2.05334784399742</f>
        <v>62.000000000000021</v>
      </c>
      <c r="BG20" s="263"/>
      <c r="BH20" s="262">
        <f>17.5618602154537+0.438139784546276</f>
        <v>17.999999999999975</v>
      </c>
      <c r="BI20" s="263"/>
      <c r="BJ20" s="262">
        <f>34.1214868355246+0.878513164475386</f>
        <v>34.999999999999986</v>
      </c>
      <c r="BK20" s="263"/>
      <c r="BL20" s="188">
        <f>145.963130282248+5.03686971775213</f>
        <v>151.00000000000011</v>
      </c>
      <c r="BM20" s="189"/>
      <c r="BN20" s="188">
        <f>139.732424098933+6.26757590106735</f>
        <v>146.00000000000034</v>
      </c>
      <c r="BO20" s="189"/>
      <c r="BP20" s="188">
        <f>207.320535567104+6.67946443289588</f>
        <v>213.99999999999989</v>
      </c>
      <c r="BQ20" s="189"/>
      <c r="BR20" s="188">
        <f>204.620555649693+16.3794443503072</f>
        <v>221.0000000000002</v>
      </c>
      <c r="BS20" s="189"/>
      <c r="BT20" s="202">
        <f>57.0726180104669+1.92738198953312</f>
        <v>59.000000000000014</v>
      </c>
      <c r="BU20" s="203"/>
      <c r="BV20" s="202">
        <f>57.2321873773515+1.76781262264853</f>
        <v>59.000000000000028</v>
      </c>
      <c r="BW20" s="203"/>
      <c r="BX20" s="202">
        <f>158.934215900058+5.06578409994151</f>
        <v>163.99999999999952</v>
      </c>
      <c r="BY20" s="203"/>
      <c r="BZ20" s="202">
        <f>162.542313829788+2.4576861702119</f>
        <v>164.99999999999989</v>
      </c>
      <c r="CA20" s="203"/>
      <c r="CB20" s="202">
        <f>84.899031226348+2.10096877365201</f>
        <v>87.000000000000014</v>
      </c>
      <c r="CC20" s="203"/>
      <c r="CD20" s="202">
        <f>69.2642492563552+2.73575074364484</f>
        <v>72.000000000000043</v>
      </c>
      <c r="CE20" s="203"/>
      <c r="CF20" s="202">
        <f>52.9587192079324+2.0412807920676</f>
        <v>55</v>
      </c>
      <c r="CG20" s="203"/>
      <c r="CH20" s="202">
        <f>64.5599145867224+6.44008541327759</f>
        <v>70.999999999999986</v>
      </c>
      <c r="CI20" s="203"/>
      <c r="CJ20" s="216">
        <f>216.997200855537+7.00279914446281</f>
        <v>223.9999999999998</v>
      </c>
      <c r="CK20" s="217"/>
      <c r="CL20" s="216">
        <f>220.569122335491+12.4308776645093</f>
        <v>233.00000000000028</v>
      </c>
      <c r="CM20" s="217"/>
      <c r="CN20" s="216">
        <f>118.765198290158+4.23480170984192</f>
        <v>122.99999999999991</v>
      </c>
      <c r="CO20" s="217"/>
      <c r="CP20" s="216">
        <f>106.248987327734+8.75101267226572</f>
        <v>114.99999999999972</v>
      </c>
      <c r="CQ20" s="217"/>
      <c r="CR20" s="246">
        <f>147.7075118435+4.29248815650027</f>
        <v>152.00000000000026</v>
      </c>
      <c r="CS20" s="247"/>
      <c r="CT20" s="246">
        <f>158.540933933221+5.45906606677949</f>
        <v>164.00000000000048</v>
      </c>
      <c r="CU20" s="247"/>
      <c r="CV20" s="246">
        <f>204.364384571867+7.63561542813255</f>
        <v>211.99999999999955</v>
      </c>
      <c r="CW20" s="247"/>
      <c r="CX20" s="246">
        <f>183.71663875021+15.2833612497903</f>
        <v>199.00000000000028</v>
      </c>
      <c r="CY20" s="247"/>
      <c r="CZ20" s="231">
        <f>239.89183113749+6.10816886250979</f>
        <v>245.99999999999977</v>
      </c>
      <c r="DA20" s="232"/>
      <c r="DB20" s="231">
        <f>246.611950994608+14.3880490053925</f>
        <v>261.00000000000051</v>
      </c>
      <c r="DC20" s="232"/>
      <c r="DD20" s="231">
        <f>73.1545411997509+3.84545880024913</f>
        <v>77.000000000000028</v>
      </c>
      <c r="DE20" s="232"/>
      <c r="DF20" s="231">
        <f>57.7111736354604+5.28882636453959</f>
        <v>62.999999999999986</v>
      </c>
      <c r="DG20" s="232"/>
      <c r="DH20" s="231">
        <f>59.2561345968836+4.74386540311635</f>
        <v>63.99999999999995</v>
      </c>
      <c r="DI20" s="232"/>
      <c r="DJ20" s="231">
        <f>43.9236974827362+3.07630251726383</f>
        <v>47.000000000000028</v>
      </c>
      <c r="DK20" s="232"/>
      <c r="DL20" s="262">
        <f>108.171904333963+4.82809566603692</f>
        <v>112.99999999999991</v>
      </c>
      <c r="DM20" s="263"/>
      <c r="DN20" s="262">
        <f>89.7922517565178+7.20774824348219</f>
        <v>96.999999999999986</v>
      </c>
      <c r="DO20" s="263"/>
      <c r="DP20" s="262">
        <f>97.1245187341028+1.87548126589725</f>
        <v>99.000000000000043</v>
      </c>
      <c r="DQ20" s="263"/>
      <c r="DR20" s="262">
        <f>105.139139086837+4.86086091316319</f>
        <v>110.0000000000002</v>
      </c>
      <c r="DS20" s="263"/>
      <c r="DT20" s="262">
        <f>100.435584999034+3.56441500096641</f>
        <v>104.00000000000041</v>
      </c>
      <c r="DU20" s="263"/>
      <c r="DV20" s="262">
        <f>83.2058580005259+5.79414199947415</f>
        <v>89.000000000000043</v>
      </c>
      <c r="DW20" s="263"/>
      <c r="DX20" s="188">
        <f>94.5860827725069+4.41391722749312</f>
        <v>99.000000000000014</v>
      </c>
      <c r="DY20" s="189"/>
      <c r="DZ20" s="188">
        <f>95.3832668771317+6.61673312286825</f>
        <v>101.99999999999996</v>
      </c>
      <c r="EA20" s="189"/>
      <c r="EB20" s="188">
        <f>156.872763979102+5.12723602089835</f>
        <v>162.00000000000034</v>
      </c>
      <c r="EC20" s="189"/>
      <c r="ED20" s="188">
        <f>144.654993442741+9.34500655725901</f>
        <v>154</v>
      </c>
      <c r="EE20" s="189"/>
      <c r="EF20" s="188">
        <f>101.52414043422+2.47585956577981</f>
        <v>103.99999999999982</v>
      </c>
      <c r="EG20" s="189"/>
      <c r="EH20" s="188">
        <f>104.388665716211+6.61133428378928</f>
        <v>111.00000000000027</v>
      </c>
      <c r="EI20" s="189"/>
    </row>
    <row r="21" spans="1:139" s="18" customFormat="1" outlineLevel="1" x14ac:dyDescent="0.2">
      <c r="A21"/>
      <c r="B21" s="16"/>
      <c r="C21" s="17" t="s">
        <v>167</v>
      </c>
      <c r="D21" s="190" t="s">
        <v>167</v>
      </c>
      <c r="E21" s="191"/>
      <c r="F21" s="190" t="s">
        <v>167</v>
      </c>
      <c r="G21" s="191"/>
      <c r="H21" s="204" t="s">
        <v>167</v>
      </c>
      <c r="I21" s="205"/>
      <c r="J21" s="204" t="s">
        <v>167</v>
      </c>
      <c r="K21" s="205"/>
      <c r="L21" s="204" t="s">
        <v>167</v>
      </c>
      <c r="M21" s="205"/>
      <c r="N21" s="204" t="s">
        <v>167</v>
      </c>
      <c r="O21" s="205"/>
      <c r="P21" s="218" t="s">
        <v>167</v>
      </c>
      <c r="Q21" s="219"/>
      <c r="R21" s="218" t="s">
        <v>167</v>
      </c>
      <c r="S21" s="219"/>
      <c r="T21" s="218" t="s">
        <v>167</v>
      </c>
      <c r="U21" s="219"/>
      <c r="V21" s="218" t="s">
        <v>167</v>
      </c>
      <c r="W21" s="219"/>
      <c r="X21" s="248" t="s">
        <v>167</v>
      </c>
      <c r="Y21" s="249"/>
      <c r="Z21" s="248" t="s">
        <v>167</v>
      </c>
      <c r="AA21" s="249"/>
      <c r="AB21" s="248" t="s">
        <v>167</v>
      </c>
      <c r="AC21" s="249"/>
      <c r="AD21" s="248" t="s">
        <v>167</v>
      </c>
      <c r="AE21" s="249"/>
      <c r="AF21" s="248" t="s">
        <v>167</v>
      </c>
      <c r="AG21" s="249"/>
      <c r="AH21" s="248" t="s">
        <v>167</v>
      </c>
      <c r="AI21" s="249"/>
      <c r="AJ21" s="233" t="s">
        <v>167</v>
      </c>
      <c r="AK21" s="234"/>
      <c r="AL21" s="233" t="s">
        <v>167</v>
      </c>
      <c r="AM21" s="234"/>
      <c r="AN21" s="233" t="s">
        <v>167</v>
      </c>
      <c r="AO21" s="234"/>
      <c r="AP21" s="233" t="s">
        <v>167</v>
      </c>
      <c r="AQ21" s="234"/>
      <c r="AR21" s="233" t="s">
        <v>167</v>
      </c>
      <c r="AS21" s="234"/>
      <c r="AT21" s="233" t="s">
        <v>167</v>
      </c>
      <c r="AU21" s="234"/>
      <c r="AV21" s="264" t="s">
        <v>167</v>
      </c>
      <c r="AW21" s="265"/>
      <c r="AX21" s="264" t="s">
        <v>167</v>
      </c>
      <c r="AY21" s="265"/>
      <c r="AZ21" s="264" t="s">
        <v>167</v>
      </c>
      <c r="BA21" s="265"/>
      <c r="BB21" s="264" t="s">
        <v>167</v>
      </c>
      <c r="BC21" s="265"/>
      <c r="BD21" s="264" t="s">
        <v>167</v>
      </c>
      <c r="BE21" s="265"/>
      <c r="BF21" s="264" t="s">
        <v>167</v>
      </c>
      <c r="BG21" s="265"/>
      <c r="BH21" s="264" t="s">
        <v>167</v>
      </c>
      <c r="BI21" s="265"/>
      <c r="BJ21" s="264" t="s">
        <v>167</v>
      </c>
      <c r="BK21" s="265"/>
      <c r="BL21" s="190" t="s">
        <v>167</v>
      </c>
      <c r="BM21" s="191"/>
      <c r="BN21" s="190" t="s">
        <v>167</v>
      </c>
      <c r="BO21" s="191"/>
      <c r="BP21" s="190" t="s">
        <v>167</v>
      </c>
      <c r="BQ21" s="191"/>
      <c r="BR21" s="190" t="s">
        <v>167</v>
      </c>
      <c r="BS21" s="191"/>
      <c r="BT21" s="204" t="s">
        <v>167</v>
      </c>
      <c r="BU21" s="205"/>
      <c r="BV21" s="204" t="s">
        <v>167</v>
      </c>
      <c r="BW21" s="205"/>
      <c r="BX21" s="204" t="s">
        <v>167</v>
      </c>
      <c r="BY21" s="205"/>
      <c r="BZ21" s="204" t="s">
        <v>167</v>
      </c>
      <c r="CA21" s="205"/>
      <c r="CB21" s="204" t="s">
        <v>167</v>
      </c>
      <c r="CC21" s="205"/>
      <c r="CD21" s="204" t="s">
        <v>167</v>
      </c>
      <c r="CE21" s="205"/>
      <c r="CF21" s="204" t="s">
        <v>167</v>
      </c>
      <c r="CG21" s="205"/>
      <c r="CH21" s="204" t="s">
        <v>167</v>
      </c>
      <c r="CI21" s="205"/>
      <c r="CJ21" s="218" t="s">
        <v>167</v>
      </c>
      <c r="CK21" s="219"/>
      <c r="CL21" s="218" t="s">
        <v>167</v>
      </c>
      <c r="CM21" s="219"/>
      <c r="CN21" s="218" t="s">
        <v>167</v>
      </c>
      <c r="CO21" s="219"/>
      <c r="CP21" s="218" t="s">
        <v>167</v>
      </c>
      <c r="CQ21" s="219"/>
      <c r="CR21" s="248" t="s">
        <v>167</v>
      </c>
      <c r="CS21" s="249"/>
      <c r="CT21" s="248" t="s">
        <v>167</v>
      </c>
      <c r="CU21" s="249"/>
      <c r="CV21" s="248" t="s">
        <v>167</v>
      </c>
      <c r="CW21" s="249"/>
      <c r="CX21" s="248" t="s">
        <v>167</v>
      </c>
      <c r="CY21" s="249"/>
      <c r="CZ21" s="233" t="s">
        <v>167</v>
      </c>
      <c r="DA21" s="234"/>
      <c r="DB21" s="233" t="s">
        <v>167</v>
      </c>
      <c r="DC21" s="234"/>
      <c r="DD21" s="233" t="s">
        <v>167</v>
      </c>
      <c r="DE21" s="234"/>
      <c r="DF21" s="233" t="s">
        <v>167</v>
      </c>
      <c r="DG21" s="234"/>
      <c r="DH21" s="233" t="s">
        <v>167</v>
      </c>
      <c r="DI21" s="234"/>
      <c r="DJ21" s="233" t="s">
        <v>167</v>
      </c>
      <c r="DK21" s="234"/>
      <c r="DL21" s="264" t="s">
        <v>167</v>
      </c>
      <c r="DM21" s="265"/>
      <c r="DN21" s="264" t="s">
        <v>167</v>
      </c>
      <c r="DO21" s="265"/>
      <c r="DP21" s="264" t="s">
        <v>167</v>
      </c>
      <c r="DQ21" s="265"/>
      <c r="DR21" s="264" t="s">
        <v>167</v>
      </c>
      <c r="DS21" s="265"/>
      <c r="DT21" s="264" t="s">
        <v>167</v>
      </c>
      <c r="DU21" s="265"/>
      <c r="DV21" s="264" t="s">
        <v>167</v>
      </c>
      <c r="DW21" s="265"/>
      <c r="DX21" s="190" t="s">
        <v>167</v>
      </c>
      <c r="DY21" s="191"/>
      <c r="DZ21" s="190" t="s">
        <v>167</v>
      </c>
      <c r="EA21" s="191"/>
      <c r="EB21" s="190" t="s">
        <v>167</v>
      </c>
      <c r="EC21" s="191"/>
      <c r="ED21" s="190" t="s">
        <v>167</v>
      </c>
      <c r="EE21" s="191"/>
      <c r="EF21" s="190" t="s">
        <v>167</v>
      </c>
      <c r="EG21" s="191"/>
      <c r="EH21" s="190" t="s">
        <v>167</v>
      </c>
      <c r="EI21" s="191"/>
    </row>
    <row r="22" spans="1:139" outlineLevel="1" x14ac:dyDescent="0.2">
      <c r="A22"/>
      <c r="B22"/>
      <c r="E22" s="187"/>
      <c r="G22" s="187"/>
      <c r="I22" s="201"/>
      <c r="K22" s="201"/>
      <c r="M22" s="201"/>
      <c r="O22" s="201"/>
      <c r="Q22" s="215"/>
      <c r="S22" s="215"/>
      <c r="U22" s="215"/>
      <c r="W22" s="215"/>
      <c r="Y22" s="245"/>
      <c r="AA22" s="245"/>
      <c r="AC22" s="245"/>
      <c r="AE22" s="245"/>
      <c r="AG22" s="245"/>
      <c r="AI22" s="245"/>
      <c r="AK22" s="230"/>
      <c r="AM22" s="230"/>
      <c r="AO22" s="230"/>
      <c r="AQ22" s="230"/>
      <c r="AS22" s="230"/>
      <c r="AU22" s="230"/>
      <c r="AW22" s="261"/>
      <c r="AY22" s="261"/>
      <c r="BA22" s="261"/>
      <c r="BC22" s="261"/>
      <c r="BE22" s="261"/>
      <c r="BG22" s="261"/>
      <c r="BI22" s="261"/>
      <c r="BK22" s="261"/>
      <c r="BM22" s="187"/>
      <c r="BO22" s="187"/>
      <c r="BQ22" s="187"/>
      <c r="BS22" s="187"/>
      <c r="BU22" s="201"/>
      <c r="BW22" s="201"/>
      <c r="BY22" s="201"/>
      <c r="CA22" s="201"/>
      <c r="CC22" s="201"/>
      <c r="CE22" s="201"/>
      <c r="CG22" s="201"/>
      <c r="CI22" s="201"/>
      <c r="CK22" s="215"/>
      <c r="CM22" s="215"/>
      <c r="CO22" s="215"/>
      <c r="CQ22" s="215"/>
      <c r="CS22" s="245"/>
      <c r="CU22" s="245"/>
      <c r="CW22" s="245"/>
      <c r="CY22" s="245"/>
      <c r="DA22" s="230"/>
      <c r="DC22" s="230"/>
      <c r="DE22" s="230"/>
      <c r="DG22" s="230"/>
      <c r="DI22" s="230"/>
      <c r="DK22" s="230"/>
      <c r="DM22" s="261"/>
      <c r="DO22" s="261"/>
      <c r="DQ22" s="261"/>
      <c r="DS22" s="261"/>
      <c r="DU22" s="261"/>
      <c r="DW22" s="261"/>
      <c r="DY22" s="187"/>
      <c r="EA22" s="187"/>
      <c r="EC22" s="187"/>
      <c r="EE22" s="187"/>
      <c r="EG22" s="187"/>
      <c r="EI22" s="187"/>
    </row>
    <row r="23" spans="1:139" outlineLevel="1" x14ac:dyDescent="0.2">
      <c r="A23"/>
      <c r="B23" s="13" t="s">
        <v>64</v>
      </c>
      <c r="C23" s="12">
        <v>15.794331316121873</v>
      </c>
      <c r="D23" s="193">
        <v>14.17236767795915</v>
      </c>
      <c r="E23" s="189"/>
      <c r="F23" s="193">
        <v>17.430496288470245</v>
      </c>
      <c r="G23" s="189"/>
      <c r="H23" s="207">
        <v>0</v>
      </c>
      <c r="I23" s="203"/>
      <c r="J23" s="207">
        <v>0</v>
      </c>
      <c r="K23" s="203"/>
      <c r="L23" s="207">
        <v>14.17236767795915</v>
      </c>
      <c r="M23" s="203"/>
      <c r="N23" s="207">
        <v>17.430496288470245</v>
      </c>
      <c r="O23" s="203"/>
      <c r="P23" s="221">
        <v>100</v>
      </c>
      <c r="Q23" s="217"/>
      <c r="R23" s="221">
        <v>100</v>
      </c>
      <c r="S23" s="217"/>
      <c r="T23" s="221">
        <v>0</v>
      </c>
      <c r="U23" s="217"/>
      <c r="V23" s="221">
        <v>0</v>
      </c>
      <c r="W23" s="217"/>
      <c r="X23" s="251">
        <v>23.906786045252218</v>
      </c>
      <c r="Y23" s="247"/>
      <c r="Z23" s="251">
        <v>13.29675210795163</v>
      </c>
      <c r="AA23" s="247"/>
      <c r="AB23" s="251">
        <v>5.7895834316919252</v>
      </c>
      <c r="AC23" s="247"/>
      <c r="AD23" s="251">
        <v>34.957826722729045</v>
      </c>
      <c r="AE23" s="247"/>
      <c r="AF23" s="251">
        <v>11.998653555836631</v>
      </c>
      <c r="AG23" s="247"/>
      <c r="AH23" s="251">
        <v>8.1398902746929398</v>
      </c>
      <c r="AI23" s="247"/>
      <c r="AJ23" s="236">
        <v>0</v>
      </c>
      <c r="AK23" s="232"/>
      <c r="AL23" s="236">
        <v>0</v>
      </c>
      <c r="AM23" s="232"/>
      <c r="AN23" s="236">
        <v>0</v>
      </c>
      <c r="AO23" s="232"/>
      <c r="AP23" s="236">
        <v>0</v>
      </c>
      <c r="AQ23" s="232"/>
      <c r="AR23" s="236">
        <v>0</v>
      </c>
      <c r="AS23" s="232"/>
      <c r="AT23" s="236">
        <v>0</v>
      </c>
      <c r="AU23" s="232"/>
      <c r="AV23" s="267">
        <v>17.865703148020227</v>
      </c>
      <c r="AW23" s="263"/>
      <c r="AX23" s="267">
        <v>18.114352920410354</v>
      </c>
      <c r="AY23" s="263"/>
      <c r="AZ23" s="267">
        <v>13.946239400765148</v>
      </c>
      <c r="BA23" s="263"/>
      <c r="BB23" s="267">
        <v>19.414530455959568</v>
      </c>
      <c r="BC23" s="263"/>
      <c r="BD23" s="267">
        <v>10.716774359921649</v>
      </c>
      <c r="BE23" s="263"/>
      <c r="BF23" s="267">
        <v>11.921855668319187</v>
      </c>
      <c r="BG23" s="263"/>
      <c r="BH23" s="267">
        <v>4.6283059328091491</v>
      </c>
      <c r="BI23" s="263"/>
      <c r="BJ23" s="267">
        <v>14.57023225179168</v>
      </c>
      <c r="BK23" s="263"/>
      <c r="BL23" s="193">
        <v>20.120011140810067</v>
      </c>
      <c r="BM23" s="189"/>
      <c r="BN23" s="193">
        <v>22.229319104905297</v>
      </c>
      <c r="BO23" s="189"/>
      <c r="BP23" s="193">
        <v>9.7077821417498793</v>
      </c>
      <c r="BQ23" s="189"/>
      <c r="BR23" s="193">
        <v>14.121024769798659</v>
      </c>
      <c r="BS23" s="189"/>
      <c r="BT23" s="207">
        <v>19.93523968262236</v>
      </c>
      <c r="BU23" s="203"/>
      <c r="BV23" s="207">
        <v>14.359617980039372</v>
      </c>
      <c r="BW23" s="203"/>
      <c r="BX23" s="207">
        <v>15.850537073070413</v>
      </c>
      <c r="BY23" s="203"/>
      <c r="BZ23" s="207">
        <v>17.489555773647179</v>
      </c>
      <c r="CA23" s="203"/>
      <c r="CB23" s="207">
        <v>9.9859236655515193</v>
      </c>
      <c r="CC23" s="203"/>
      <c r="CD23" s="207">
        <v>13.867393576168112</v>
      </c>
      <c r="CE23" s="203"/>
      <c r="CF23" s="207">
        <v>10.635869691797344</v>
      </c>
      <c r="CG23" s="203"/>
      <c r="CH23" s="207">
        <v>22.776497954051379</v>
      </c>
      <c r="CI23" s="203"/>
      <c r="CJ23" s="221">
        <v>14.776364353284286</v>
      </c>
      <c r="CK23" s="217"/>
      <c r="CL23" s="221">
        <v>17.878293678429436</v>
      </c>
      <c r="CM23" s="217"/>
      <c r="CN23" s="221">
        <v>12.049809654819411</v>
      </c>
      <c r="CO23" s="217"/>
      <c r="CP23" s="221">
        <v>19.213753044468067</v>
      </c>
      <c r="CQ23" s="217"/>
      <c r="CR23" s="251">
        <v>12.850039807698195</v>
      </c>
      <c r="CS23" s="247"/>
      <c r="CT23" s="251">
        <v>17.337391076680202</v>
      </c>
      <c r="CU23" s="247"/>
      <c r="CV23" s="251">
        <v>15.212999899545192</v>
      </c>
      <c r="CW23" s="247"/>
      <c r="CX23" s="251">
        <v>17.834620459484629</v>
      </c>
      <c r="CY23" s="247"/>
      <c r="CZ23" s="236">
        <v>11.77349935351317</v>
      </c>
      <c r="DA23" s="232"/>
      <c r="DB23" s="236">
        <v>16.841156119521319</v>
      </c>
      <c r="DC23" s="232"/>
      <c r="DD23" s="236">
        <v>17.368531145543347</v>
      </c>
      <c r="DE23" s="232"/>
      <c r="DF23" s="236">
        <v>16.038966715121454</v>
      </c>
      <c r="DG23" s="232"/>
      <c r="DH23" s="236">
        <v>12.938604586960114</v>
      </c>
      <c r="DI23" s="232"/>
      <c r="DJ23" s="236">
        <v>24.350744892474172</v>
      </c>
      <c r="DK23" s="232"/>
      <c r="DL23" s="267">
        <v>23.906786045252218</v>
      </c>
      <c r="DM23" s="263"/>
      <c r="DN23" s="267">
        <v>34.957826722729045</v>
      </c>
      <c r="DO23" s="263"/>
      <c r="DP23" s="267">
        <v>5.7895834316919252</v>
      </c>
      <c r="DQ23" s="263"/>
      <c r="DR23" s="267">
        <v>8.1398902746929398</v>
      </c>
      <c r="DS23" s="263"/>
      <c r="DT23" s="267">
        <v>13.29675210795163</v>
      </c>
      <c r="DU23" s="263"/>
      <c r="DV23" s="267">
        <v>11.998653555836631</v>
      </c>
      <c r="DW23" s="263"/>
      <c r="DX23" s="193">
        <v>18.821205981174177</v>
      </c>
      <c r="DY23" s="189"/>
      <c r="DZ23" s="193">
        <v>28.390338257694818</v>
      </c>
      <c r="EA23" s="189"/>
      <c r="EB23" s="193">
        <v>12.626187653028227</v>
      </c>
      <c r="EC23" s="189"/>
      <c r="ED23" s="193">
        <v>14.852479185239037</v>
      </c>
      <c r="EE23" s="189"/>
      <c r="EF23" s="193">
        <v>12.297031981264777</v>
      </c>
      <c r="EG23" s="189"/>
      <c r="EH23" s="193">
        <v>10.629655450776061</v>
      </c>
      <c r="EI23" s="189"/>
    </row>
    <row r="24" spans="1:139" outlineLevel="1" x14ac:dyDescent="0.2">
      <c r="A24"/>
      <c r="B24" s="7"/>
      <c r="E24" s="187"/>
      <c r="G24" s="187"/>
      <c r="I24" s="201"/>
      <c r="K24" s="201"/>
      <c r="M24" s="201"/>
      <c r="O24" s="201"/>
      <c r="Q24" s="215"/>
      <c r="S24" s="215"/>
      <c r="U24" s="215"/>
      <c r="W24" s="215"/>
      <c r="Y24" s="245"/>
      <c r="AA24" s="245"/>
      <c r="AC24" s="245"/>
      <c r="AE24" s="245"/>
      <c r="AG24" s="245"/>
      <c r="AI24" s="245"/>
      <c r="AK24" s="230"/>
      <c r="AM24" s="230"/>
      <c r="AO24" s="230"/>
      <c r="AQ24" s="230"/>
      <c r="AS24" s="230"/>
      <c r="AU24" s="230"/>
      <c r="AW24" s="261"/>
      <c r="AY24" s="261"/>
      <c r="BA24" s="261"/>
      <c r="BC24" s="261"/>
      <c r="BE24" s="261"/>
      <c r="BG24" s="261"/>
      <c r="BI24" s="261"/>
      <c r="BK24" s="261"/>
      <c r="BM24" s="187"/>
      <c r="BO24" s="187"/>
      <c r="BQ24" s="187"/>
      <c r="BS24" s="187"/>
      <c r="BU24" s="201"/>
      <c r="BW24" s="201"/>
      <c r="BY24" s="201"/>
      <c r="CA24" s="201"/>
      <c r="CC24" s="201"/>
      <c r="CE24" s="201"/>
      <c r="CG24" s="201"/>
      <c r="CI24" s="201"/>
      <c r="CK24" s="215"/>
      <c r="CM24" s="215"/>
      <c r="CO24" s="215"/>
      <c r="CQ24" s="215"/>
      <c r="CS24" s="245"/>
      <c r="CU24" s="245"/>
      <c r="CW24" s="245"/>
      <c r="CY24" s="245"/>
      <c r="DA24" s="230"/>
      <c r="DC24" s="230"/>
      <c r="DE24" s="230"/>
      <c r="DG24" s="230"/>
      <c r="DI24" s="230"/>
      <c r="DK24" s="230"/>
      <c r="DM24" s="261"/>
      <c r="DO24" s="261"/>
      <c r="DQ24" s="261"/>
      <c r="DS24" s="261"/>
      <c r="DU24" s="261"/>
      <c r="DW24" s="261"/>
      <c r="DY24" s="187"/>
      <c r="EA24" s="187"/>
      <c r="EC24" s="187"/>
      <c r="EE24" s="187"/>
      <c r="EG24" s="187"/>
      <c r="EI24" s="187"/>
    </row>
    <row r="25" spans="1:139" outlineLevel="1" x14ac:dyDescent="0.2">
      <c r="A25"/>
      <c r="B25" s="7" t="s">
        <v>65</v>
      </c>
      <c r="C25" s="10">
        <v>84.20566868387813</v>
      </c>
      <c r="D25" s="192">
        <v>85.827632322040856</v>
      </c>
      <c r="E25" s="189"/>
      <c r="F25" s="192">
        <v>82.569503711529748</v>
      </c>
      <c r="G25" s="189"/>
      <c r="H25" s="206">
        <v>0</v>
      </c>
      <c r="I25" s="203"/>
      <c r="J25" s="206">
        <v>0</v>
      </c>
      <c r="K25" s="203"/>
      <c r="L25" s="206">
        <v>85.827632322040856</v>
      </c>
      <c r="M25" s="203"/>
      <c r="N25" s="206">
        <v>82.569503711529748</v>
      </c>
      <c r="O25" s="203"/>
      <c r="P25" s="220">
        <v>0</v>
      </c>
      <c r="Q25" s="217"/>
      <c r="R25" s="220">
        <v>0</v>
      </c>
      <c r="S25" s="217"/>
      <c r="T25" s="220">
        <v>100</v>
      </c>
      <c r="U25" s="217"/>
      <c r="V25" s="220">
        <v>100</v>
      </c>
      <c r="W25" s="217"/>
      <c r="X25" s="250">
        <v>76.093213954747782</v>
      </c>
      <c r="Y25" s="247"/>
      <c r="Z25" s="250">
        <v>86.703247892048367</v>
      </c>
      <c r="AA25" s="247"/>
      <c r="AB25" s="250">
        <v>94.210416568308077</v>
      </c>
      <c r="AC25" s="247"/>
      <c r="AD25" s="250">
        <v>65.042173277270948</v>
      </c>
      <c r="AE25" s="247"/>
      <c r="AF25" s="250">
        <v>88.001346444163374</v>
      </c>
      <c r="AG25" s="247"/>
      <c r="AH25" s="250">
        <v>91.860109725307069</v>
      </c>
      <c r="AI25" s="247"/>
      <c r="AJ25" s="235">
        <v>100.00000000000001</v>
      </c>
      <c r="AK25" s="232"/>
      <c r="AL25" s="235">
        <v>100</v>
      </c>
      <c r="AM25" s="232"/>
      <c r="AN25" s="235">
        <v>100</v>
      </c>
      <c r="AO25" s="232"/>
      <c r="AP25" s="235">
        <v>100</v>
      </c>
      <c r="AQ25" s="232"/>
      <c r="AR25" s="235">
        <v>100</v>
      </c>
      <c r="AS25" s="232"/>
      <c r="AT25" s="235">
        <v>100</v>
      </c>
      <c r="AU25" s="232"/>
      <c r="AV25" s="266">
        <v>82.134296851979769</v>
      </c>
      <c r="AW25" s="263"/>
      <c r="AX25" s="266">
        <v>81.88564707958966</v>
      </c>
      <c r="AY25" s="263"/>
      <c r="AZ25" s="266">
        <v>86.053760599234849</v>
      </c>
      <c r="BA25" s="263"/>
      <c r="BB25" s="266">
        <v>80.585469544040421</v>
      </c>
      <c r="BC25" s="263"/>
      <c r="BD25" s="266">
        <v>89.283225640078356</v>
      </c>
      <c r="BE25" s="263"/>
      <c r="BF25" s="266">
        <v>88.078144331680804</v>
      </c>
      <c r="BG25" s="263"/>
      <c r="BH25" s="266">
        <v>95.371694067190845</v>
      </c>
      <c r="BI25" s="263"/>
      <c r="BJ25" s="266">
        <v>85.42976774820832</v>
      </c>
      <c r="BK25" s="263"/>
      <c r="BL25" s="192">
        <v>79.879988859189922</v>
      </c>
      <c r="BM25" s="189"/>
      <c r="BN25" s="192">
        <v>77.770680895094699</v>
      </c>
      <c r="BO25" s="189"/>
      <c r="BP25" s="192">
        <v>90.292217858250126</v>
      </c>
      <c r="BQ25" s="189"/>
      <c r="BR25" s="192">
        <v>85.878975230201334</v>
      </c>
      <c r="BS25" s="189"/>
      <c r="BT25" s="206">
        <v>80.064760317377647</v>
      </c>
      <c r="BU25" s="203"/>
      <c r="BV25" s="206">
        <v>85.640382019960626</v>
      </c>
      <c r="BW25" s="203"/>
      <c r="BX25" s="206">
        <v>84.149462926929587</v>
      </c>
      <c r="BY25" s="203"/>
      <c r="BZ25" s="206">
        <v>82.510444226352817</v>
      </c>
      <c r="CA25" s="203"/>
      <c r="CB25" s="206">
        <v>90.01407633444849</v>
      </c>
      <c r="CC25" s="203"/>
      <c r="CD25" s="206">
        <v>86.132606423831888</v>
      </c>
      <c r="CE25" s="203"/>
      <c r="CF25" s="206">
        <v>89.364130308202661</v>
      </c>
      <c r="CG25" s="203"/>
      <c r="CH25" s="206">
        <v>77.223502045948621</v>
      </c>
      <c r="CI25" s="203"/>
      <c r="CJ25" s="220">
        <v>85.223635646715707</v>
      </c>
      <c r="CK25" s="217"/>
      <c r="CL25" s="220">
        <v>82.121706321570556</v>
      </c>
      <c r="CM25" s="217"/>
      <c r="CN25" s="220">
        <v>87.950190345180587</v>
      </c>
      <c r="CO25" s="217"/>
      <c r="CP25" s="220">
        <v>80.786246955531936</v>
      </c>
      <c r="CQ25" s="217"/>
      <c r="CR25" s="250">
        <v>87.149960192301805</v>
      </c>
      <c r="CS25" s="247"/>
      <c r="CT25" s="250">
        <v>82.662608923319794</v>
      </c>
      <c r="CU25" s="247"/>
      <c r="CV25" s="250">
        <v>84.787000100454804</v>
      </c>
      <c r="CW25" s="247"/>
      <c r="CX25" s="250">
        <v>82.16537954051536</v>
      </c>
      <c r="CY25" s="247"/>
      <c r="CZ25" s="235">
        <v>88.226500646486841</v>
      </c>
      <c r="DA25" s="232"/>
      <c r="DB25" s="235">
        <v>83.158843880478685</v>
      </c>
      <c r="DC25" s="232"/>
      <c r="DD25" s="235">
        <v>82.631468854456656</v>
      </c>
      <c r="DE25" s="232"/>
      <c r="DF25" s="235">
        <v>83.961033284878539</v>
      </c>
      <c r="DG25" s="232"/>
      <c r="DH25" s="235">
        <v>87.061395413039875</v>
      </c>
      <c r="DI25" s="232"/>
      <c r="DJ25" s="235">
        <v>75.649255107525832</v>
      </c>
      <c r="DK25" s="232"/>
      <c r="DL25" s="266">
        <v>76.093213954747782</v>
      </c>
      <c r="DM25" s="263"/>
      <c r="DN25" s="266">
        <v>65.042173277270948</v>
      </c>
      <c r="DO25" s="263"/>
      <c r="DP25" s="266">
        <v>94.210416568308077</v>
      </c>
      <c r="DQ25" s="263"/>
      <c r="DR25" s="266">
        <v>91.860109725307069</v>
      </c>
      <c r="DS25" s="263"/>
      <c r="DT25" s="266">
        <v>86.703247892048367</v>
      </c>
      <c r="DU25" s="263"/>
      <c r="DV25" s="266">
        <v>88.001346444163374</v>
      </c>
      <c r="DW25" s="263"/>
      <c r="DX25" s="192">
        <v>81.178794018825826</v>
      </c>
      <c r="DY25" s="189"/>
      <c r="DZ25" s="192">
        <v>71.609661742305178</v>
      </c>
      <c r="EA25" s="189"/>
      <c r="EB25" s="192">
        <v>87.373812346971775</v>
      </c>
      <c r="EC25" s="189"/>
      <c r="ED25" s="192">
        <v>85.147520814760966</v>
      </c>
      <c r="EE25" s="189"/>
      <c r="EF25" s="192">
        <v>87.702968018735234</v>
      </c>
      <c r="EG25" s="189"/>
      <c r="EH25" s="192">
        <v>89.37034454922393</v>
      </c>
      <c r="EI25" s="189"/>
    </row>
    <row r="26" spans="1:139" outlineLevel="1" x14ac:dyDescent="0.2">
      <c r="A26"/>
      <c r="B26" s="11" t="s">
        <v>66</v>
      </c>
      <c r="C26" s="12">
        <v>19.625680634688006</v>
      </c>
      <c r="D26" s="193">
        <v>22.404892768030958</v>
      </c>
      <c r="E26" s="189"/>
      <c r="F26" s="193">
        <v>16.822134712750923</v>
      </c>
      <c r="G26" s="189"/>
      <c r="H26" s="207">
        <v>0</v>
      </c>
      <c r="I26" s="203"/>
      <c r="J26" s="207">
        <v>0</v>
      </c>
      <c r="K26" s="203"/>
      <c r="L26" s="207">
        <v>22.404892768030958</v>
      </c>
      <c r="M26" s="203"/>
      <c r="N26" s="207">
        <v>16.822134712750923</v>
      </c>
      <c r="O26" s="203"/>
      <c r="P26" s="221">
        <v>0</v>
      </c>
      <c r="Q26" s="217"/>
      <c r="R26" s="221">
        <v>0</v>
      </c>
      <c r="S26" s="217"/>
      <c r="T26" s="221">
        <v>26.104521541458503</v>
      </c>
      <c r="U26" s="217"/>
      <c r="V26" s="221">
        <v>20.3733024380549</v>
      </c>
      <c r="W26" s="217"/>
      <c r="X26" s="251">
        <v>28.577581931284332</v>
      </c>
      <c r="Y26" s="247"/>
      <c r="Z26" s="251">
        <v>25.060787887606548</v>
      </c>
      <c r="AA26" s="247"/>
      <c r="AB26" s="251">
        <v>18.112833042191902</v>
      </c>
      <c r="AC26" s="247"/>
      <c r="AD26" s="251">
        <v>20.904284116840468</v>
      </c>
      <c r="AE26" s="247"/>
      <c r="AF26" s="251">
        <v>16.106781635770986</v>
      </c>
      <c r="AG26" s="247"/>
      <c r="AH26" s="251">
        <v>14.550183191905386</v>
      </c>
      <c r="AI26" s="247"/>
      <c r="AJ26" s="236">
        <v>37.556019053524622</v>
      </c>
      <c r="AK26" s="232"/>
      <c r="AL26" s="236">
        <v>28.904093556920714</v>
      </c>
      <c r="AM26" s="232"/>
      <c r="AN26" s="236">
        <v>19.225934564315438</v>
      </c>
      <c r="AO26" s="232"/>
      <c r="AP26" s="236">
        <v>32.139584308978634</v>
      </c>
      <c r="AQ26" s="232"/>
      <c r="AR26" s="236">
        <v>18.302880906476471</v>
      </c>
      <c r="AS26" s="232"/>
      <c r="AT26" s="236">
        <v>15.839501210498634</v>
      </c>
      <c r="AU26" s="232"/>
      <c r="AV26" s="267">
        <v>22.272738251078401</v>
      </c>
      <c r="AW26" s="263"/>
      <c r="AX26" s="267">
        <v>17.427874699497902</v>
      </c>
      <c r="AY26" s="263"/>
      <c r="AZ26" s="267">
        <v>19.520709155137492</v>
      </c>
      <c r="BA26" s="263"/>
      <c r="BB26" s="267">
        <v>16.244351535115502</v>
      </c>
      <c r="BC26" s="263"/>
      <c r="BD26" s="267">
        <v>29.31183004157149</v>
      </c>
      <c r="BE26" s="263"/>
      <c r="BF26" s="267">
        <v>15.982211609174518</v>
      </c>
      <c r="BG26" s="263"/>
      <c r="BH26" s="267">
        <v>34.83802205657102</v>
      </c>
      <c r="BI26" s="263"/>
      <c r="BJ26" s="267">
        <v>19.453635893173587</v>
      </c>
      <c r="BK26" s="263"/>
      <c r="BL26" s="193">
        <v>21.557277150490393</v>
      </c>
      <c r="BM26" s="189"/>
      <c r="BN26" s="193">
        <v>15.189622355449385</v>
      </c>
      <c r="BO26" s="189"/>
      <c r="BP26" s="193">
        <v>23.041153574512247</v>
      </c>
      <c r="BQ26" s="189"/>
      <c r="BR26" s="193">
        <v>17.947984396524504</v>
      </c>
      <c r="BS26" s="189"/>
      <c r="BT26" s="207">
        <v>17.573137489799816</v>
      </c>
      <c r="BU26" s="203"/>
      <c r="BV26" s="207">
        <v>15.168530632946213</v>
      </c>
      <c r="BW26" s="203"/>
      <c r="BX26" s="207">
        <v>26.954075902108745</v>
      </c>
      <c r="BY26" s="203" t="s">
        <v>211</v>
      </c>
      <c r="BZ26" s="207">
        <v>16.541021485466789</v>
      </c>
      <c r="CA26" s="203"/>
      <c r="CB26" s="207">
        <v>17.201433108017632</v>
      </c>
      <c r="CC26" s="203"/>
      <c r="CD26" s="207">
        <v>15.110106644171083</v>
      </c>
      <c r="CE26" s="203"/>
      <c r="CF26" s="207">
        <v>23.026195395759096</v>
      </c>
      <c r="CG26" s="203"/>
      <c r="CH26" s="207">
        <v>20.031541462160273</v>
      </c>
      <c r="CI26" s="203"/>
      <c r="CJ26" s="221">
        <v>20.453221411900945</v>
      </c>
      <c r="CK26" s="217"/>
      <c r="CL26" s="221">
        <v>16.134858996623677</v>
      </c>
      <c r="CM26" s="217"/>
      <c r="CN26" s="221">
        <v>26.919527176173261</v>
      </c>
      <c r="CO26" s="217"/>
      <c r="CP26" s="221">
        <v>16.292068062169921</v>
      </c>
      <c r="CQ26" s="217"/>
      <c r="CR26" s="251">
        <v>18.710575068132407</v>
      </c>
      <c r="CS26" s="247"/>
      <c r="CT26" s="251">
        <v>10.941908858902258</v>
      </c>
      <c r="CU26" s="247"/>
      <c r="CV26" s="251">
        <v>25.246959337702879</v>
      </c>
      <c r="CW26" s="247"/>
      <c r="CX26" s="251">
        <v>21.090548354548275</v>
      </c>
      <c r="CY26" s="247"/>
      <c r="CZ26" s="236">
        <v>22.163103609108674</v>
      </c>
      <c r="DA26" s="232"/>
      <c r="DB26" s="236">
        <v>16.875586955036496</v>
      </c>
      <c r="DC26" s="232"/>
      <c r="DD26" s="236">
        <v>18.685641364729467</v>
      </c>
      <c r="DE26" s="232"/>
      <c r="DF26" s="236">
        <v>17.778644712006969</v>
      </c>
      <c r="DG26" s="232"/>
      <c r="DH26" s="236">
        <v>16.788839006977224</v>
      </c>
      <c r="DI26" s="232"/>
      <c r="DJ26" s="236">
        <v>17.569614193958465</v>
      </c>
      <c r="DK26" s="232"/>
      <c r="DL26" s="267">
        <v>28.577581931284332</v>
      </c>
      <c r="DM26" s="263"/>
      <c r="DN26" s="267">
        <v>20.904284116840468</v>
      </c>
      <c r="DO26" s="263"/>
      <c r="DP26" s="267">
        <v>18.112833042191902</v>
      </c>
      <c r="DQ26" s="263"/>
      <c r="DR26" s="267">
        <v>14.550183191905386</v>
      </c>
      <c r="DS26" s="263"/>
      <c r="DT26" s="267">
        <v>25.060787887606548</v>
      </c>
      <c r="DU26" s="263"/>
      <c r="DV26" s="267">
        <v>16.106781635770986</v>
      </c>
      <c r="DW26" s="263"/>
      <c r="DX26" s="193">
        <v>21.338121008489573</v>
      </c>
      <c r="DY26" s="189"/>
      <c r="DZ26" s="193">
        <v>13.497038129548587</v>
      </c>
      <c r="EA26" s="189"/>
      <c r="EB26" s="193">
        <v>26.156978087127921</v>
      </c>
      <c r="EC26" s="189"/>
      <c r="ED26" s="193">
        <v>23.142658828715327</v>
      </c>
      <c r="EE26" s="189"/>
      <c r="EF26" s="193">
        <v>17.717739451230148</v>
      </c>
      <c r="EG26" s="189"/>
      <c r="EH26" s="193">
        <v>11.163266429383921</v>
      </c>
      <c r="EI26" s="189"/>
    </row>
    <row r="27" spans="1:139" outlineLevel="1" x14ac:dyDescent="0.2">
      <c r="A27"/>
      <c r="B27" s="11" t="s">
        <v>67</v>
      </c>
      <c r="C27" s="12">
        <v>11.064362515549851</v>
      </c>
      <c r="D27" s="193">
        <v>11.277991357894383</v>
      </c>
      <c r="E27" s="189"/>
      <c r="F27" s="193">
        <v>10.848863215378493</v>
      </c>
      <c r="G27" s="189"/>
      <c r="H27" s="207">
        <v>0</v>
      </c>
      <c r="I27" s="203"/>
      <c r="J27" s="207">
        <v>0</v>
      </c>
      <c r="K27" s="203"/>
      <c r="L27" s="207">
        <v>11.277991357894383</v>
      </c>
      <c r="M27" s="203"/>
      <c r="N27" s="207">
        <v>10.848863215378493</v>
      </c>
      <c r="O27" s="203"/>
      <c r="P27" s="221">
        <v>0</v>
      </c>
      <c r="Q27" s="217"/>
      <c r="R27" s="221">
        <v>0</v>
      </c>
      <c r="S27" s="217"/>
      <c r="T27" s="221">
        <v>13.140280178739303</v>
      </c>
      <c r="U27" s="217"/>
      <c r="V27" s="221">
        <v>13.139067970277253</v>
      </c>
      <c r="W27" s="217"/>
      <c r="X27" s="251">
        <v>12.615536671918299</v>
      </c>
      <c r="Y27" s="247"/>
      <c r="Z27" s="251">
        <v>6.5342671373978574</v>
      </c>
      <c r="AA27" s="247"/>
      <c r="AB27" s="251">
        <v>12.284004532363912</v>
      </c>
      <c r="AC27" s="247"/>
      <c r="AD27" s="251">
        <v>8.498105111897063</v>
      </c>
      <c r="AE27" s="247"/>
      <c r="AF27" s="251">
        <v>11.225921543559963</v>
      </c>
      <c r="AG27" s="247"/>
      <c r="AH27" s="251">
        <v>10.192019287355013</v>
      </c>
      <c r="AI27" s="247"/>
      <c r="AJ27" s="236">
        <v>16.579056155284349</v>
      </c>
      <c r="AK27" s="232"/>
      <c r="AL27" s="236">
        <v>7.5363579753476806</v>
      </c>
      <c r="AM27" s="232"/>
      <c r="AN27" s="236">
        <v>13.038902681697929</v>
      </c>
      <c r="AO27" s="232"/>
      <c r="AP27" s="236">
        <v>13.065530691402548</v>
      </c>
      <c r="AQ27" s="232"/>
      <c r="AR27" s="236">
        <v>12.756533845402901</v>
      </c>
      <c r="AS27" s="232"/>
      <c r="AT27" s="236">
        <v>11.095152529027684</v>
      </c>
      <c r="AU27" s="232"/>
      <c r="AV27" s="267">
        <v>18.506996942309641</v>
      </c>
      <c r="AW27" s="263"/>
      <c r="AX27" s="267">
        <v>14.067239563247899</v>
      </c>
      <c r="AY27" s="263"/>
      <c r="AZ27" s="267">
        <v>8.1926639978032458</v>
      </c>
      <c r="BA27" s="263"/>
      <c r="BB27" s="267">
        <v>10.03690565010722</v>
      </c>
      <c r="BC27" s="263"/>
      <c r="BD27" s="267">
        <v>8.981123655510828</v>
      </c>
      <c r="BE27" s="263"/>
      <c r="BF27" s="267">
        <v>13.424351753315856</v>
      </c>
      <c r="BG27" s="263"/>
      <c r="BH27" s="267">
        <v>9.6867660573879295</v>
      </c>
      <c r="BI27" s="263"/>
      <c r="BJ27" s="267">
        <v>0</v>
      </c>
      <c r="BK27" s="263"/>
      <c r="BL27" s="193">
        <v>10.818259508548159</v>
      </c>
      <c r="BM27" s="189"/>
      <c r="BN27" s="193">
        <v>10.887275431286898</v>
      </c>
      <c r="BO27" s="189"/>
      <c r="BP27" s="193">
        <v>11.623088063496509</v>
      </c>
      <c r="BQ27" s="189"/>
      <c r="BR27" s="193">
        <v>10.822372523935885</v>
      </c>
      <c r="BS27" s="189"/>
      <c r="BT27" s="207">
        <v>12.138305814538953</v>
      </c>
      <c r="BU27" s="203"/>
      <c r="BV27" s="207">
        <v>20.954018344522861</v>
      </c>
      <c r="BW27" s="203"/>
      <c r="BX27" s="207">
        <v>7.5591413158685716</v>
      </c>
      <c r="BY27" s="203"/>
      <c r="BZ27" s="207">
        <v>8.0924977576770516</v>
      </c>
      <c r="CA27" s="203"/>
      <c r="CB27" s="207">
        <v>20.365723417990928</v>
      </c>
      <c r="CC27" s="203"/>
      <c r="CD27" s="207">
        <v>10.126789469045491</v>
      </c>
      <c r="CE27" s="203"/>
      <c r="CF27" s="207">
        <v>6.3433915933841076</v>
      </c>
      <c r="CG27" s="203"/>
      <c r="CH27" s="207">
        <v>9.2104844103315404</v>
      </c>
      <c r="CI27" s="203"/>
      <c r="CJ27" s="221">
        <v>6.9620382441644431</v>
      </c>
      <c r="CK27" s="217"/>
      <c r="CL27" s="221">
        <v>10.1603533238714</v>
      </c>
      <c r="CM27" s="217"/>
      <c r="CN27" s="221">
        <v>17.577017818868164</v>
      </c>
      <c r="CO27" s="217"/>
      <c r="CP27" s="221">
        <v>13.04940617179588</v>
      </c>
      <c r="CQ27" s="217"/>
      <c r="CR27" s="251">
        <v>11.100287329924161</v>
      </c>
      <c r="CS27" s="247"/>
      <c r="CT27" s="251">
        <v>11.95690635089543</v>
      </c>
      <c r="CU27" s="247"/>
      <c r="CV27" s="251">
        <v>11.453419200770121</v>
      </c>
      <c r="CW27" s="247"/>
      <c r="CX27" s="251">
        <v>10.227607885749766</v>
      </c>
      <c r="CY27" s="247"/>
      <c r="CZ27" s="236">
        <v>10.990551649082619</v>
      </c>
      <c r="DA27" s="232"/>
      <c r="DB27" s="236">
        <v>10.981583748954435</v>
      </c>
      <c r="DC27" s="232"/>
      <c r="DD27" s="236">
        <v>13.023555523734517</v>
      </c>
      <c r="DE27" s="232"/>
      <c r="DF27" s="236">
        <v>9.1495375211652465</v>
      </c>
      <c r="DG27" s="232"/>
      <c r="DH27" s="236">
        <v>14.477061186754344</v>
      </c>
      <c r="DI27" s="232"/>
      <c r="DJ27" s="236">
        <v>12.88818961898073</v>
      </c>
      <c r="DK27" s="232"/>
      <c r="DL27" s="267">
        <v>12.615536671918299</v>
      </c>
      <c r="DM27" s="263"/>
      <c r="DN27" s="267">
        <v>8.498105111897063</v>
      </c>
      <c r="DO27" s="263"/>
      <c r="DP27" s="267">
        <v>12.284004532363912</v>
      </c>
      <c r="DQ27" s="263"/>
      <c r="DR27" s="267">
        <v>10.192019287355013</v>
      </c>
      <c r="DS27" s="263"/>
      <c r="DT27" s="267">
        <v>6.5342671373978574</v>
      </c>
      <c r="DU27" s="263"/>
      <c r="DV27" s="267">
        <v>11.225921543559963</v>
      </c>
      <c r="DW27" s="263"/>
      <c r="DX27" s="193">
        <v>11.87463130626587</v>
      </c>
      <c r="DY27" s="189"/>
      <c r="DZ27" s="193">
        <v>14.691070867284026</v>
      </c>
      <c r="EA27" s="189"/>
      <c r="EB27" s="193">
        <v>9.6516423104759852</v>
      </c>
      <c r="EC27" s="189"/>
      <c r="ED27" s="193">
        <v>8.2166248342878578</v>
      </c>
      <c r="EE27" s="189"/>
      <c r="EF27" s="193">
        <v>13.188235556099897</v>
      </c>
      <c r="EG27" s="189"/>
      <c r="EH27" s="193">
        <v>10.874674347778226</v>
      </c>
      <c r="EI27" s="189"/>
    </row>
    <row r="28" spans="1:139" outlineLevel="1" x14ac:dyDescent="0.2">
      <c r="A28"/>
      <c r="B28" s="11" t="s">
        <v>68</v>
      </c>
      <c r="C28" s="12">
        <v>40.691851891924678</v>
      </c>
      <c r="D28" s="193">
        <v>40.267293732569165</v>
      </c>
      <c r="E28" s="189"/>
      <c r="F28" s="193">
        <v>41.120127330854409</v>
      </c>
      <c r="G28" s="189"/>
      <c r="H28" s="207">
        <v>0</v>
      </c>
      <c r="I28" s="203"/>
      <c r="J28" s="207">
        <v>0</v>
      </c>
      <c r="K28" s="203"/>
      <c r="L28" s="207">
        <v>40.267293732569165</v>
      </c>
      <c r="M28" s="203"/>
      <c r="N28" s="207">
        <v>41.120127330854409</v>
      </c>
      <c r="O28" s="203"/>
      <c r="P28" s="221">
        <v>0</v>
      </c>
      <c r="Q28" s="217"/>
      <c r="R28" s="221">
        <v>0</v>
      </c>
      <c r="S28" s="217"/>
      <c r="T28" s="221">
        <v>46.916468092092963</v>
      </c>
      <c r="U28" s="217"/>
      <c r="V28" s="221">
        <v>49.800623090232421</v>
      </c>
      <c r="W28" s="217"/>
      <c r="X28" s="251">
        <v>24.916332817106444</v>
      </c>
      <c r="Y28" s="247"/>
      <c r="Z28" s="251">
        <v>42.896049840324103</v>
      </c>
      <c r="AA28" s="247"/>
      <c r="AB28" s="251">
        <v>51.606982673150469</v>
      </c>
      <c r="AC28" s="247"/>
      <c r="AD28" s="251">
        <v>26.037027479672329</v>
      </c>
      <c r="AE28" s="247"/>
      <c r="AF28" s="251">
        <v>42.510234335686214</v>
      </c>
      <c r="AG28" s="247"/>
      <c r="AH28" s="251">
        <v>58.546709189969057</v>
      </c>
      <c r="AI28" s="247"/>
      <c r="AJ28" s="236">
        <v>32.744487349324018</v>
      </c>
      <c r="AK28" s="232"/>
      <c r="AL28" s="236">
        <v>49.474559354146336</v>
      </c>
      <c r="AM28" s="232"/>
      <c r="AN28" s="236">
        <v>54.778425308980964</v>
      </c>
      <c r="AO28" s="232"/>
      <c r="AP28" s="236">
        <v>40.030992458812861</v>
      </c>
      <c r="AQ28" s="232"/>
      <c r="AR28" s="236">
        <v>48.306345361043817</v>
      </c>
      <c r="AS28" s="232"/>
      <c r="AT28" s="236">
        <v>63.734638860157702</v>
      </c>
      <c r="AU28" s="232"/>
      <c r="AV28" s="267">
        <v>31.766746047464242</v>
      </c>
      <c r="AW28" s="263"/>
      <c r="AX28" s="267">
        <v>39.247636753637202</v>
      </c>
      <c r="AY28" s="263"/>
      <c r="AZ28" s="267">
        <v>44.824827449514913</v>
      </c>
      <c r="BA28" s="263"/>
      <c r="BB28" s="267">
        <v>41.844156331676921</v>
      </c>
      <c r="BC28" s="263"/>
      <c r="BD28" s="267">
        <v>38.505291997168825</v>
      </c>
      <c r="BE28" s="263"/>
      <c r="BF28" s="267">
        <v>36.928560922642994</v>
      </c>
      <c r="BG28" s="263"/>
      <c r="BH28" s="267">
        <v>46.218600020422748</v>
      </c>
      <c r="BI28" s="263"/>
      <c r="BJ28" s="267">
        <v>50.968055577336244</v>
      </c>
      <c r="BK28" s="263"/>
      <c r="BL28" s="193">
        <v>36.947202330687915</v>
      </c>
      <c r="BM28" s="189"/>
      <c r="BN28" s="193">
        <v>37.744284973755356</v>
      </c>
      <c r="BO28" s="189"/>
      <c r="BP28" s="193">
        <v>42.759513070247252</v>
      </c>
      <c r="BQ28" s="189"/>
      <c r="BR28" s="193">
        <v>43.448251239510007</v>
      </c>
      <c r="BS28" s="189"/>
      <c r="BT28" s="207">
        <v>28.342795631716932</v>
      </c>
      <c r="BU28" s="203"/>
      <c r="BV28" s="207">
        <v>38.876634373200147</v>
      </c>
      <c r="BW28" s="203"/>
      <c r="BX28" s="207">
        <v>42.13861072880578</v>
      </c>
      <c r="BY28" s="203"/>
      <c r="BZ28" s="207">
        <v>44.164539334639066</v>
      </c>
      <c r="CA28" s="203"/>
      <c r="CB28" s="207">
        <v>43.762812131557666</v>
      </c>
      <c r="CC28" s="203"/>
      <c r="CD28" s="207">
        <v>49.159311534442161</v>
      </c>
      <c r="CE28" s="203"/>
      <c r="CF28" s="207">
        <v>41.431846387777036</v>
      </c>
      <c r="CG28" s="203"/>
      <c r="CH28" s="207">
        <v>30.027141699487956</v>
      </c>
      <c r="CI28" s="203"/>
      <c r="CJ28" s="221">
        <v>44.410352140444104</v>
      </c>
      <c r="CK28" s="217"/>
      <c r="CL28" s="221">
        <v>41.841815280728504</v>
      </c>
      <c r="CM28" s="217"/>
      <c r="CN28" s="221">
        <v>34.583160049905629</v>
      </c>
      <c r="CO28" s="217"/>
      <c r="CP28" s="221">
        <v>39.614576620159191</v>
      </c>
      <c r="CQ28" s="217"/>
      <c r="CR28" s="251">
        <v>45.060655704239011</v>
      </c>
      <c r="CS28" s="247"/>
      <c r="CT28" s="251">
        <v>43.135125186480352</v>
      </c>
      <c r="CU28" s="247"/>
      <c r="CV28" s="251">
        <v>36.463333757052666</v>
      </c>
      <c r="CW28" s="247"/>
      <c r="CX28" s="251">
        <v>38.938023905619367</v>
      </c>
      <c r="CY28" s="247"/>
      <c r="CZ28" s="236">
        <v>43.567702029594734</v>
      </c>
      <c r="DA28" s="232"/>
      <c r="DB28" s="236">
        <v>41.899354653431644</v>
      </c>
      <c r="DC28" s="232"/>
      <c r="DD28" s="236">
        <v>35.967132610902169</v>
      </c>
      <c r="DE28" s="232"/>
      <c r="DF28" s="236">
        <v>45.082864163636891</v>
      </c>
      <c r="DG28" s="232"/>
      <c r="DH28" s="236">
        <v>44.131795251249137</v>
      </c>
      <c r="DI28" s="232"/>
      <c r="DJ28" s="236">
        <v>28.534855160886572</v>
      </c>
      <c r="DK28" s="232"/>
      <c r="DL28" s="267">
        <v>24.916332817106444</v>
      </c>
      <c r="DM28" s="263"/>
      <c r="DN28" s="267">
        <v>26.037027479672329</v>
      </c>
      <c r="DO28" s="263"/>
      <c r="DP28" s="267">
        <v>51.606982673150469</v>
      </c>
      <c r="DQ28" s="263"/>
      <c r="DR28" s="267">
        <v>58.546709189969057</v>
      </c>
      <c r="DS28" s="263"/>
      <c r="DT28" s="267">
        <v>42.896049840324103</v>
      </c>
      <c r="DU28" s="263"/>
      <c r="DV28" s="267">
        <v>42.510234335686214</v>
      </c>
      <c r="DW28" s="263"/>
      <c r="DX28" s="193">
        <v>34.519069481135702</v>
      </c>
      <c r="DY28" s="189"/>
      <c r="DZ28" s="193">
        <v>29.304480282405279</v>
      </c>
      <c r="EA28" s="189"/>
      <c r="EB28" s="193">
        <v>38.139115169620723</v>
      </c>
      <c r="EC28" s="189"/>
      <c r="ED28" s="193">
        <v>35.858430019309786</v>
      </c>
      <c r="EE28" s="189"/>
      <c r="EF28" s="193">
        <v>48.671777285396693</v>
      </c>
      <c r="EG28" s="189"/>
      <c r="EH28" s="193">
        <v>59.663615014860746</v>
      </c>
      <c r="EI28" s="189"/>
    </row>
    <row r="29" spans="1:139" outlineLevel="1" x14ac:dyDescent="0.2">
      <c r="A29"/>
      <c r="B29" s="11" t="s">
        <v>69</v>
      </c>
      <c r="C29" s="12">
        <v>12.823773641715595</v>
      </c>
      <c r="D29" s="193">
        <v>11.877454463546355</v>
      </c>
      <c r="E29" s="189"/>
      <c r="F29" s="193">
        <v>13.778378452545931</v>
      </c>
      <c r="G29" s="189"/>
      <c r="H29" s="207">
        <v>0</v>
      </c>
      <c r="I29" s="203"/>
      <c r="J29" s="207">
        <v>0</v>
      </c>
      <c r="K29" s="203"/>
      <c r="L29" s="207">
        <v>11.877454463546355</v>
      </c>
      <c r="M29" s="203"/>
      <c r="N29" s="207">
        <v>13.778378452545931</v>
      </c>
      <c r="O29" s="203"/>
      <c r="P29" s="221">
        <v>0</v>
      </c>
      <c r="Q29" s="217"/>
      <c r="R29" s="221">
        <v>0</v>
      </c>
      <c r="S29" s="217"/>
      <c r="T29" s="221">
        <v>13.838730187709231</v>
      </c>
      <c r="U29" s="217"/>
      <c r="V29" s="221">
        <v>16.68700650143542</v>
      </c>
      <c r="W29" s="217"/>
      <c r="X29" s="251">
        <v>9.9837625344387089</v>
      </c>
      <c r="Y29" s="247"/>
      <c r="Z29" s="251">
        <v>12.212143026719867</v>
      </c>
      <c r="AA29" s="247"/>
      <c r="AB29" s="251">
        <v>12.206596320601799</v>
      </c>
      <c r="AC29" s="247"/>
      <c r="AD29" s="251">
        <v>9.6027565688610927</v>
      </c>
      <c r="AE29" s="247"/>
      <c r="AF29" s="251">
        <v>18.158408929146209</v>
      </c>
      <c r="AG29" s="247"/>
      <c r="AH29" s="251">
        <v>8.5711980560776055</v>
      </c>
      <c r="AI29" s="247"/>
      <c r="AJ29" s="236">
        <v>13.120437441867022</v>
      </c>
      <c r="AK29" s="232"/>
      <c r="AL29" s="236">
        <v>14.084989113585275</v>
      </c>
      <c r="AM29" s="232"/>
      <c r="AN29" s="236">
        <v>12.956737445005668</v>
      </c>
      <c r="AO29" s="232"/>
      <c r="AP29" s="236">
        <v>14.76389254080596</v>
      </c>
      <c r="AQ29" s="232"/>
      <c r="AR29" s="236">
        <v>20.634239887076813</v>
      </c>
      <c r="AS29" s="232"/>
      <c r="AT29" s="236">
        <v>9.3307074003159798</v>
      </c>
      <c r="AU29" s="232"/>
      <c r="AV29" s="267">
        <v>9.5878156111274802</v>
      </c>
      <c r="AW29" s="263"/>
      <c r="AX29" s="267">
        <v>11.142896063206649</v>
      </c>
      <c r="AY29" s="263"/>
      <c r="AZ29" s="267">
        <v>13.515559996779194</v>
      </c>
      <c r="BA29" s="263"/>
      <c r="BB29" s="267">
        <v>12.460056027140785</v>
      </c>
      <c r="BC29" s="263"/>
      <c r="BD29" s="267">
        <v>12.484979945827215</v>
      </c>
      <c r="BE29" s="263"/>
      <c r="BF29" s="267">
        <v>21.743020046547443</v>
      </c>
      <c r="BG29" s="263"/>
      <c r="BH29" s="267">
        <v>4.6283059328091491</v>
      </c>
      <c r="BI29" s="263"/>
      <c r="BJ29" s="267">
        <v>15.008076277698496</v>
      </c>
      <c r="BK29" s="263"/>
      <c r="BL29" s="193">
        <v>10.557249869463458</v>
      </c>
      <c r="BM29" s="189"/>
      <c r="BN29" s="193">
        <v>13.949498134603063</v>
      </c>
      <c r="BO29" s="189"/>
      <c r="BP29" s="193">
        <v>12.868463149994119</v>
      </c>
      <c r="BQ29" s="189"/>
      <c r="BR29" s="193">
        <v>13.66036707023094</v>
      </c>
      <c r="BS29" s="189"/>
      <c r="BT29" s="207">
        <v>22.010521381321944</v>
      </c>
      <c r="BU29" s="203"/>
      <c r="BV29" s="207">
        <v>10.641198669291407</v>
      </c>
      <c r="BW29" s="203"/>
      <c r="BX29" s="207">
        <v>7.497634980146489</v>
      </c>
      <c r="BY29" s="203"/>
      <c r="BZ29" s="207">
        <v>13.712385648569912</v>
      </c>
      <c r="CA29" s="203"/>
      <c r="CB29" s="207">
        <v>8.6841076768822614</v>
      </c>
      <c r="CC29" s="203"/>
      <c r="CD29" s="207">
        <v>11.736398776173148</v>
      </c>
      <c r="CE29" s="203"/>
      <c r="CF29" s="207">
        <v>18.562696931282421</v>
      </c>
      <c r="CG29" s="203"/>
      <c r="CH29" s="207">
        <v>17.954334473968856</v>
      </c>
      <c r="CI29" s="203"/>
      <c r="CJ29" s="221">
        <v>13.398023850206211</v>
      </c>
      <c r="CK29" s="217"/>
      <c r="CL29" s="221">
        <v>13.984678720346976</v>
      </c>
      <c r="CM29" s="217"/>
      <c r="CN29" s="221">
        <v>8.8704853002335327</v>
      </c>
      <c r="CO29" s="217"/>
      <c r="CP29" s="221">
        <v>11.830196101406942</v>
      </c>
      <c r="CQ29" s="217"/>
      <c r="CR29" s="251">
        <v>12.278442090006227</v>
      </c>
      <c r="CS29" s="247"/>
      <c r="CT29" s="251">
        <v>16.628668527041757</v>
      </c>
      <c r="CU29" s="247"/>
      <c r="CV29" s="251">
        <v>11.623287804929141</v>
      </c>
      <c r="CW29" s="247"/>
      <c r="CX29" s="251">
        <v>11.90919939459795</v>
      </c>
      <c r="CY29" s="247"/>
      <c r="CZ29" s="236">
        <v>11.505143358700808</v>
      </c>
      <c r="DA29" s="232"/>
      <c r="DB29" s="236">
        <v>13.402318523056115</v>
      </c>
      <c r="DC29" s="232"/>
      <c r="DD29" s="236">
        <v>14.9551393550905</v>
      </c>
      <c r="DE29" s="232"/>
      <c r="DF29" s="236">
        <v>11.949986888069438</v>
      </c>
      <c r="DG29" s="232"/>
      <c r="DH29" s="236">
        <v>11.663699968059168</v>
      </c>
      <c r="DI29" s="232"/>
      <c r="DJ29" s="236">
        <v>16.656596133700056</v>
      </c>
      <c r="DK29" s="232"/>
      <c r="DL29" s="267">
        <v>9.9837625344387089</v>
      </c>
      <c r="DM29" s="263"/>
      <c r="DN29" s="267">
        <v>9.6027565688610927</v>
      </c>
      <c r="DO29" s="263"/>
      <c r="DP29" s="267">
        <v>12.206596320601799</v>
      </c>
      <c r="DQ29" s="263"/>
      <c r="DR29" s="267">
        <v>8.5711980560776055</v>
      </c>
      <c r="DS29" s="263"/>
      <c r="DT29" s="267">
        <v>12.212143026719867</v>
      </c>
      <c r="DU29" s="263"/>
      <c r="DV29" s="267">
        <v>18.158408929146209</v>
      </c>
      <c r="DW29" s="263"/>
      <c r="DX29" s="193">
        <v>13.446972222934674</v>
      </c>
      <c r="DY29" s="189"/>
      <c r="DZ29" s="193">
        <v>14.11707246306729</v>
      </c>
      <c r="EA29" s="189"/>
      <c r="EB29" s="193">
        <v>13.426076779747147</v>
      </c>
      <c r="EC29" s="189"/>
      <c r="ED29" s="193">
        <v>17.929807132448001</v>
      </c>
      <c r="EE29" s="189"/>
      <c r="EF29" s="193">
        <v>8.1252157260084843</v>
      </c>
      <c r="EG29" s="189"/>
      <c r="EH29" s="193">
        <v>7.6687887572010416</v>
      </c>
      <c r="EI29" s="189"/>
    </row>
    <row r="30" spans="1:139" outlineLevel="1" x14ac:dyDescent="0.2">
      <c r="A30"/>
      <c r="B30"/>
      <c r="E30" s="187"/>
      <c r="G30" s="187"/>
      <c r="I30" s="201"/>
      <c r="K30" s="201"/>
      <c r="M30" s="201"/>
      <c r="O30" s="201"/>
      <c r="Q30" s="215"/>
      <c r="S30" s="215"/>
      <c r="U30" s="215"/>
      <c r="W30" s="215"/>
      <c r="Y30" s="245"/>
      <c r="AA30" s="245"/>
      <c r="AC30" s="245"/>
      <c r="AE30" s="245"/>
      <c r="AG30" s="245"/>
      <c r="AI30" s="245"/>
      <c r="AK30" s="230"/>
      <c r="AM30" s="230"/>
      <c r="AO30" s="230"/>
      <c r="AQ30" s="230"/>
      <c r="AS30" s="230"/>
      <c r="AU30" s="230"/>
      <c r="AW30" s="261"/>
      <c r="AY30" s="261"/>
      <c r="BA30" s="261"/>
      <c r="BC30" s="261"/>
      <c r="BE30" s="261"/>
      <c r="BG30" s="261"/>
      <c r="BI30" s="261"/>
      <c r="BK30" s="261"/>
      <c r="BM30" s="187"/>
      <c r="BO30" s="187"/>
      <c r="BQ30" s="187"/>
      <c r="BS30" s="187"/>
      <c r="BU30" s="201"/>
      <c r="BW30" s="201"/>
      <c r="BY30" s="201"/>
      <c r="CA30" s="201"/>
      <c r="CC30" s="201"/>
      <c r="CE30" s="201"/>
      <c r="CG30" s="201"/>
      <c r="CI30" s="201"/>
      <c r="CK30" s="215"/>
      <c r="CM30" s="215"/>
      <c r="CO30" s="215"/>
      <c r="CQ30" s="215"/>
      <c r="CS30" s="245"/>
      <c r="CU30" s="245"/>
      <c r="CW30" s="245"/>
      <c r="CY30" s="245"/>
      <c r="DA30" s="230"/>
      <c r="DC30" s="230"/>
      <c r="DE30" s="230"/>
      <c r="DG30" s="230"/>
      <c r="DI30" s="230"/>
      <c r="DK30" s="230"/>
      <c r="DM30" s="261"/>
      <c r="DO30" s="261"/>
      <c r="DQ30" s="261"/>
      <c r="DS30" s="261"/>
      <c r="DU30" s="261"/>
      <c r="DW30" s="261"/>
      <c r="DY30" s="187"/>
      <c r="EA30" s="187"/>
      <c r="EC30" s="187"/>
      <c r="EE30" s="187"/>
      <c r="EG30" s="187"/>
      <c r="EI30" s="187"/>
    </row>
    <row r="31" spans="1:139" x14ac:dyDescent="0.2">
      <c r="A31"/>
      <c r="B31"/>
      <c r="E31" s="187"/>
      <c r="G31" s="187"/>
      <c r="I31" s="201"/>
      <c r="K31" s="201"/>
      <c r="M31" s="201"/>
      <c r="O31" s="201"/>
      <c r="Q31" s="215"/>
      <c r="S31" s="215"/>
      <c r="U31" s="215"/>
      <c r="W31" s="215"/>
      <c r="Y31" s="245"/>
      <c r="AA31" s="245"/>
      <c r="AC31" s="245"/>
      <c r="AE31" s="245"/>
      <c r="AG31" s="245"/>
      <c r="AI31" s="245"/>
      <c r="AK31" s="230"/>
      <c r="AM31" s="230"/>
      <c r="AO31" s="230"/>
      <c r="AQ31" s="230"/>
      <c r="AS31" s="230"/>
      <c r="AU31" s="230"/>
      <c r="AW31" s="261"/>
      <c r="AY31" s="261"/>
      <c r="BA31" s="261"/>
      <c r="BC31" s="261"/>
      <c r="BE31" s="261"/>
      <c r="BG31" s="261"/>
      <c r="BI31" s="261"/>
      <c r="BK31" s="261"/>
      <c r="BM31" s="187"/>
      <c r="BO31" s="187"/>
      <c r="BQ31" s="187"/>
      <c r="BS31" s="187"/>
      <c r="BU31" s="201"/>
      <c r="BW31" s="201"/>
      <c r="BY31" s="201"/>
      <c r="CA31" s="201"/>
      <c r="CC31" s="201"/>
      <c r="CE31" s="201"/>
      <c r="CG31" s="201"/>
      <c r="CI31" s="201"/>
      <c r="CK31" s="215"/>
      <c r="CM31" s="215"/>
      <c r="CO31" s="215"/>
      <c r="CQ31" s="215"/>
      <c r="CS31" s="245"/>
      <c r="CU31" s="245"/>
      <c r="CW31" s="245"/>
      <c r="CY31" s="245"/>
      <c r="DA31" s="230"/>
      <c r="DC31" s="230"/>
      <c r="DE31" s="230"/>
      <c r="DG31" s="230"/>
      <c r="DI31" s="230"/>
      <c r="DK31" s="230"/>
      <c r="DM31" s="261"/>
      <c r="DO31" s="261"/>
      <c r="DQ31" s="261"/>
      <c r="DS31" s="261"/>
      <c r="DU31" s="261"/>
      <c r="DW31" s="261"/>
      <c r="DY31" s="187"/>
      <c r="EA31" s="187"/>
      <c r="EC31" s="187"/>
      <c r="EE31" s="187"/>
      <c r="EG31" s="187"/>
      <c r="EI31" s="187"/>
    </row>
    <row r="32" spans="1:139" x14ac:dyDescent="0.2">
      <c r="A32" s="6" t="s">
        <v>70</v>
      </c>
      <c r="B32" s="7" t="s">
        <v>71</v>
      </c>
      <c r="E32" s="187"/>
      <c r="G32" s="187"/>
      <c r="I32" s="201"/>
      <c r="K32" s="201"/>
      <c r="M32" s="201"/>
      <c r="O32" s="201"/>
      <c r="Q32" s="215"/>
      <c r="S32" s="215"/>
      <c r="U32" s="215"/>
      <c r="W32" s="215"/>
      <c r="Y32" s="245"/>
      <c r="AA32" s="245"/>
      <c r="AC32" s="245"/>
      <c r="AE32" s="245"/>
      <c r="AG32" s="245"/>
      <c r="AI32" s="245"/>
      <c r="AK32" s="230"/>
      <c r="AM32" s="230"/>
      <c r="AO32" s="230"/>
      <c r="AQ32" s="230"/>
      <c r="AS32" s="230"/>
      <c r="AU32" s="230"/>
      <c r="AW32" s="261"/>
      <c r="AY32" s="261"/>
      <c r="BA32" s="261"/>
      <c r="BC32" s="261"/>
      <c r="BE32" s="261"/>
      <c r="BG32" s="261"/>
      <c r="BI32" s="261"/>
      <c r="BK32" s="261"/>
      <c r="BM32" s="187"/>
      <c r="BO32" s="187"/>
      <c r="BQ32" s="187"/>
      <c r="BS32" s="187"/>
      <c r="BU32" s="201"/>
      <c r="BW32" s="201"/>
      <c r="BY32" s="201"/>
      <c r="CA32" s="201"/>
      <c r="CC32" s="201"/>
      <c r="CE32" s="201"/>
      <c r="CG32" s="201"/>
      <c r="CI32" s="201"/>
      <c r="CK32" s="215"/>
      <c r="CM32" s="215"/>
      <c r="CO32" s="215"/>
      <c r="CQ32" s="215"/>
      <c r="CS32" s="245"/>
      <c r="CU32" s="245"/>
      <c r="CW32" s="245"/>
      <c r="CY32" s="245"/>
      <c r="DA32" s="230"/>
      <c r="DC32" s="230"/>
      <c r="DE32" s="230"/>
      <c r="DG32" s="230"/>
      <c r="DI32" s="230"/>
      <c r="DK32" s="230"/>
      <c r="DM32" s="261"/>
      <c r="DO32" s="261"/>
      <c r="DQ32" s="261"/>
      <c r="DS32" s="261"/>
      <c r="DU32" s="261"/>
      <c r="DW32" s="261"/>
      <c r="DY32" s="187"/>
      <c r="EA32" s="187"/>
      <c r="EC32" s="187"/>
      <c r="EE32" s="187"/>
      <c r="EG32" s="187"/>
      <c r="EI32" s="187"/>
    </row>
    <row r="33" spans="1:139" outlineLevel="1" x14ac:dyDescent="0.2">
      <c r="A33"/>
      <c r="B33" s="9" t="s">
        <v>55</v>
      </c>
      <c r="C33" s="8">
        <f>1883.05224610559+89.9477538944136</f>
        <v>1973.0000000000036</v>
      </c>
      <c r="D33" s="188">
        <f>967.527394309411+37.4726056905894</f>
        <v>1005.0000000000003</v>
      </c>
      <c r="E33" s="189"/>
      <c r="F33" s="188">
        <f>915.674025315765+52.3259746842352</f>
        <v>968.00000000000023</v>
      </c>
      <c r="G33" s="189"/>
      <c r="H33" s="202">
        <f>614.914712703891+25.0852872961091</f>
        <v>640.00000000000011</v>
      </c>
      <c r="I33" s="203"/>
      <c r="J33" s="202">
        <f>571.592789928119+29.4072100718807</f>
        <v>600.99999999999977</v>
      </c>
      <c r="K33" s="203"/>
      <c r="L33" s="202">
        <f>352.928444129701+12.0715558702993</f>
        <v>365.00000000000028</v>
      </c>
      <c r="M33" s="203"/>
      <c r="N33" s="202">
        <f>344.344915978557+22.6550840214431</f>
        <v>367.00000000000011</v>
      </c>
      <c r="O33" s="203"/>
      <c r="P33" s="216">
        <f>666.134795233083+26.8652047669171</f>
        <v>693.00000000000011</v>
      </c>
      <c r="Q33" s="217"/>
      <c r="R33" s="216">
        <f>628.589973530577+34.410026469423</f>
        <v>663</v>
      </c>
      <c r="S33" s="217"/>
      <c r="T33" s="216">
        <f>301.732918900987+10.2670810990132</f>
        <v>312.00000000000017</v>
      </c>
      <c r="U33" s="217"/>
      <c r="V33" s="216">
        <f>287.140440951688+17.8595590483123</f>
        <v>305.00000000000028</v>
      </c>
      <c r="W33" s="217"/>
      <c r="X33" s="246">
        <f>108.171904333963+4.82809566603692</f>
        <v>112.99999999999991</v>
      </c>
      <c r="Y33" s="247"/>
      <c r="Z33" s="246">
        <f>100.435584999034+3.56441500096641</f>
        <v>104.00000000000041</v>
      </c>
      <c r="AA33" s="247"/>
      <c r="AB33" s="246">
        <f>97.1245187341028+1.87548126589725</f>
        <v>99.000000000000043</v>
      </c>
      <c r="AC33" s="247"/>
      <c r="AD33" s="246">
        <f>89.7922517565178+7.20774824348219</f>
        <v>96.999999999999986</v>
      </c>
      <c r="AE33" s="247"/>
      <c r="AF33" s="246">
        <f>83.2058580005259+5.79414199947415</f>
        <v>89.000000000000043</v>
      </c>
      <c r="AG33" s="247"/>
      <c r="AH33" s="246">
        <f>105.139139086837+4.86086091316319</f>
        <v>110.0000000000002</v>
      </c>
      <c r="AI33" s="247"/>
      <c r="AJ33" s="231">
        <f>81.347414494191+3.65258550580896</f>
        <v>84.999999999999957</v>
      </c>
      <c r="AK33" s="232"/>
      <c r="AL33" s="231">
        <f>86.7773955885698+3.22260441143024</f>
        <v>90.000000000000043</v>
      </c>
      <c r="AM33" s="232"/>
      <c r="AN33" s="231">
        <f>91.2486792832434+1.75132071675662</f>
        <v>93.000000000000028</v>
      </c>
      <c r="AO33" s="232"/>
      <c r="AP33" s="231">
        <f>61.5558959595598+3.44410404044016</f>
        <v>64.999999999999957</v>
      </c>
      <c r="AQ33" s="232"/>
      <c r="AR33" s="231">
        <f>72.5600476663241+5.43995233367595</f>
        <v>78.000000000000043</v>
      </c>
      <c r="AS33" s="232"/>
      <c r="AT33" s="231">
        <f>96.2370441283936+4.76295587160638</f>
        <v>100.99999999999999</v>
      </c>
      <c r="AU33" s="232"/>
      <c r="AV33" s="262">
        <f>197.715853616343+7.284146383657</f>
        <v>205</v>
      </c>
      <c r="AW33" s="263"/>
      <c r="AX33" s="262">
        <f>222.310601003113+7.68939899688726</f>
        <v>230.00000000000026</v>
      </c>
      <c r="AY33" s="263"/>
      <c r="AZ33" s="262">
        <f>392.403354729256+13.5966452707435</f>
        <v>405.99999999999955</v>
      </c>
      <c r="BA33" s="263"/>
      <c r="BB33" s="262">
        <f>346.728378469888+22.2716215301122</f>
        <v>369.00000000000023</v>
      </c>
      <c r="BC33" s="263"/>
      <c r="BD33" s="262">
        <f>154.550159416201+5.44984058379873</f>
        <v>159.99999999999974</v>
      </c>
      <c r="BE33" s="263"/>
      <c r="BF33" s="262">
        <f>156.704083884388+5.29591611561236</f>
        <v>162.00000000000037</v>
      </c>
      <c r="BG33" s="263"/>
      <c r="BH33" s="262">
        <f>230.339276084846+3.66072391515439</f>
        <v>234.0000000000004</v>
      </c>
      <c r="BI33" s="263"/>
      <c r="BJ33" s="262">
        <f>200.935318042598+6.06468195740226</f>
        <v>207.00000000000026</v>
      </c>
      <c r="BK33" s="263"/>
      <c r="BL33" s="188">
        <f>467.920890025199+23.0791099748013</f>
        <v>491.00000000000034</v>
      </c>
      <c r="BM33" s="189"/>
      <c r="BN33" s="188">
        <f>455.419752172956+21.5802478270436</f>
        <v>476.9999999999996</v>
      </c>
      <c r="BO33" s="189"/>
      <c r="BP33" s="188">
        <f>499.920187868175+14.0798121318251</f>
        <v>514.00000000000011</v>
      </c>
      <c r="BQ33" s="189"/>
      <c r="BR33" s="188">
        <f>460.279012276745+30.7209877232551</f>
        <v>491.00000000000011</v>
      </c>
      <c r="BS33" s="189"/>
      <c r="BT33" s="202">
        <f>199.012276964019+5.98772303598091</f>
        <v>204.99999999999991</v>
      </c>
      <c r="BU33" s="203"/>
      <c r="BV33" s="202">
        <f>181.014059701763+4.98594029823695</f>
        <v>185.99999999999994</v>
      </c>
      <c r="BW33" s="203"/>
      <c r="BX33" s="202">
        <f>358.107365326749+11.8926346732514</f>
        <v>370.0000000000004</v>
      </c>
      <c r="BY33" s="203"/>
      <c r="BZ33" s="202">
        <f>390.539964767126+7.46003523287402</f>
        <v>398</v>
      </c>
      <c r="CA33" s="203"/>
      <c r="CB33" s="202">
        <f>216.489006579472+5.51099342052765</f>
        <v>221.99999999999966</v>
      </c>
      <c r="CC33" s="203"/>
      <c r="CD33" s="202">
        <f>193.528998687179+8.47100131282144</f>
        <v>202.00000000000045</v>
      </c>
      <c r="CE33" s="203"/>
      <c r="CF33" s="202">
        <f>196.54096017015+11.45903982985</f>
        <v>208</v>
      </c>
      <c r="CG33" s="203"/>
      <c r="CH33" s="202">
        <f>168.225931261699+13.7740687383015</f>
        <v>182.00000000000051</v>
      </c>
      <c r="CI33" s="203"/>
      <c r="CJ33" s="216">
        <f>434.967758722076+15.0322412779238</f>
        <v>449.99999999999977</v>
      </c>
      <c r="CK33" s="217"/>
      <c r="CL33" s="216">
        <f>461.320453395883+26.6795466041166</f>
        <v>487.9999999999996</v>
      </c>
      <c r="CM33" s="217"/>
      <c r="CN33" s="216">
        <f>499.832494257641+21.1675057423587</f>
        <v>520.99999999999966</v>
      </c>
      <c r="CO33" s="217"/>
      <c r="CP33" s="216">
        <f>419.228434557519+23.7715654424807</f>
        <v>442.99999999999972</v>
      </c>
      <c r="CQ33" s="217"/>
      <c r="CR33" s="246">
        <f>278.600721225599+9.39927877440061</f>
        <v>287.9999999999996</v>
      </c>
      <c r="CS33" s="247"/>
      <c r="CT33" s="246">
        <f>288.303155214841+11.696844785159</f>
        <v>300</v>
      </c>
      <c r="CU33" s="247"/>
      <c r="CV33" s="246">
        <f>687.2765940079+27.7234059920997</f>
        <v>714.99999999999977</v>
      </c>
      <c r="CW33" s="247"/>
      <c r="CX33" s="246">
        <f>623.292717768491+39.7072822315085</f>
        <v>662.99999999999955</v>
      </c>
      <c r="CY33" s="247"/>
      <c r="CZ33" s="231">
        <f>692.423144809988+22.576855190012</f>
        <v>715</v>
      </c>
      <c r="DA33" s="232"/>
      <c r="DB33" s="231">
        <f>663.537743943924+34.4622560560761</f>
        <v>698.00000000000011</v>
      </c>
      <c r="DC33" s="232"/>
      <c r="DD33" s="231">
        <f>144.910200171351+8.08979982864935</f>
        <v>153.00000000000034</v>
      </c>
      <c r="DE33" s="232"/>
      <c r="DF33" s="231">
        <f>147.583017202747+10.4169827972532</f>
        <v>158.0000000000002</v>
      </c>
      <c r="DG33" s="232"/>
      <c r="DH33" s="231">
        <f>137.928914326619+13.0710856733805</f>
        <v>150.99999999999952</v>
      </c>
      <c r="DI33" s="232"/>
      <c r="DJ33" s="231">
        <f>128.919238413463+7.08076158653716</f>
        <v>136.00000000000017</v>
      </c>
      <c r="DK33" s="232"/>
      <c r="DL33" s="262">
        <f>413.862071051737+17.1379289482628</f>
        <v>430.99999999999983</v>
      </c>
      <c r="DM33" s="263"/>
      <c r="DN33" s="262">
        <f>357.90141607247+21.0985839275298</f>
        <v>378.99999999999977</v>
      </c>
      <c r="DO33" s="263"/>
      <c r="DP33" s="262">
        <f>241.873526237823+8.1264737621774</f>
        <v>250.0000000000004</v>
      </c>
      <c r="DQ33" s="263"/>
      <c r="DR33" s="262">
        <f>256.512738009862+13.4872619901379</f>
        <v>269.99999999999989</v>
      </c>
      <c r="DS33" s="263"/>
      <c r="DT33" s="262">
        <f>225.871080498257+9.12891950174273</f>
        <v>234.99999999999972</v>
      </c>
      <c r="DU33" s="263"/>
      <c r="DV33" s="262">
        <f>199.781557066392+11.2184429336075</f>
        <v>210.99999999999949</v>
      </c>
      <c r="DW33" s="263"/>
      <c r="DX33" s="188">
        <f>259.270985115657+12.7290148843434</f>
        <v>272.00000000000045</v>
      </c>
      <c r="DY33" s="189"/>
      <c r="DZ33" s="188">
        <f>303.859853266346+18.1401467336542</f>
        <v>322.00000000000023</v>
      </c>
      <c r="EA33" s="189"/>
      <c r="EB33" s="188">
        <f>517.130870757899+18.8691292421007</f>
        <v>535.99999999999966</v>
      </c>
      <c r="EC33" s="189"/>
      <c r="ED33" s="188">
        <f>405.927020493304+22.0729795066961</f>
        <v>428.00000000000011</v>
      </c>
      <c r="EE33" s="189"/>
      <c r="EF33" s="188">
        <f>191.387221855571+5.61277814442948</f>
        <v>197.00000000000048</v>
      </c>
      <c r="EG33" s="189"/>
      <c r="EH33" s="188">
        <f>206.572842939928+11.4271570600716</f>
        <v>217.9999999999996</v>
      </c>
      <c r="EI33" s="189"/>
    </row>
    <row r="34" spans="1:139" s="18" customFormat="1" outlineLevel="1" x14ac:dyDescent="0.2">
      <c r="A34"/>
      <c r="B34" s="16"/>
      <c r="C34" s="17" t="s">
        <v>167</v>
      </c>
      <c r="D34" s="190" t="s">
        <v>167</v>
      </c>
      <c r="E34" s="191"/>
      <c r="F34" s="190" t="s">
        <v>167</v>
      </c>
      <c r="G34" s="191"/>
      <c r="H34" s="204" t="s">
        <v>167</v>
      </c>
      <c r="I34" s="205"/>
      <c r="J34" s="204" t="s">
        <v>167</v>
      </c>
      <c r="K34" s="205"/>
      <c r="L34" s="204" t="s">
        <v>167</v>
      </c>
      <c r="M34" s="205"/>
      <c r="N34" s="204" t="s">
        <v>167</v>
      </c>
      <c r="O34" s="205"/>
      <c r="P34" s="218" t="s">
        <v>167</v>
      </c>
      <c r="Q34" s="219"/>
      <c r="R34" s="218" t="s">
        <v>167</v>
      </c>
      <c r="S34" s="219"/>
      <c r="T34" s="218" t="s">
        <v>167</v>
      </c>
      <c r="U34" s="219"/>
      <c r="V34" s="218" t="s">
        <v>167</v>
      </c>
      <c r="W34" s="219"/>
      <c r="X34" s="248" t="s">
        <v>167</v>
      </c>
      <c r="Y34" s="249"/>
      <c r="Z34" s="248" t="s">
        <v>167</v>
      </c>
      <c r="AA34" s="249"/>
      <c r="AB34" s="248" t="s">
        <v>167</v>
      </c>
      <c r="AC34" s="249"/>
      <c r="AD34" s="248" t="s">
        <v>167</v>
      </c>
      <c r="AE34" s="249"/>
      <c r="AF34" s="248" t="s">
        <v>167</v>
      </c>
      <c r="AG34" s="249"/>
      <c r="AH34" s="248" t="s">
        <v>167</v>
      </c>
      <c r="AI34" s="249"/>
      <c r="AJ34" s="233" t="s">
        <v>167</v>
      </c>
      <c r="AK34" s="234"/>
      <c r="AL34" s="233" t="s">
        <v>167</v>
      </c>
      <c r="AM34" s="234"/>
      <c r="AN34" s="233" t="s">
        <v>167</v>
      </c>
      <c r="AO34" s="234"/>
      <c r="AP34" s="233" t="s">
        <v>167</v>
      </c>
      <c r="AQ34" s="234"/>
      <c r="AR34" s="233" t="s">
        <v>167</v>
      </c>
      <c r="AS34" s="234"/>
      <c r="AT34" s="233" t="s">
        <v>167</v>
      </c>
      <c r="AU34" s="234"/>
      <c r="AV34" s="264" t="s">
        <v>167</v>
      </c>
      <c r="AW34" s="265"/>
      <c r="AX34" s="264" t="s">
        <v>167</v>
      </c>
      <c r="AY34" s="265"/>
      <c r="AZ34" s="264" t="s">
        <v>167</v>
      </c>
      <c r="BA34" s="265"/>
      <c r="BB34" s="264" t="s">
        <v>167</v>
      </c>
      <c r="BC34" s="265"/>
      <c r="BD34" s="264" t="s">
        <v>167</v>
      </c>
      <c r="BE34" s="265"/>
      <c r="BF34" s="264" t="s">
        <v>167</v>
      </c>
      <c r="BG34" s="265"/>
      <c r="BH34" s="264" t="s">
        <v>167</v>
      </c>
      <c r="BI34" s="265"/>
      <c r="BJ34" s="264" t="s">
        <v>167</v>
      </c>
      <c r="BK34" s="265"/>
      <c r="BL34" s="190" t="s">
        <v>167</v>
      </c>
      <c r="BM34" s="191"/>
      <c r="BN34" s="190" t="s">
        <v>167</v>
      </c>
      <c r="BO34" s="191"/>
      <c r="BP34" s="190" t="s">
        <v>167</v>
      </c>
      <c r="BQ34" s="191"/>
      <c r="BR34" s="190" t="s">
        <v>167</v>
      </c>
      <c r="BS34" s="191"/>
      <c r="BT34" s="204" t="s">
        <v>167</v>
      </c>
      <c r="BU34" s="205"/>
      <c r="BV34" s="204" t="s">
        <v>167</v>
      </c>
      <c r="BW34" s="205"/>
      <c r="BX34" s="204" t="s">
        <v>167</v>
      </c>
      <c r="BY34" s="205"/>
      <c r="BZ34" s="204" t="s">
        <v>167</v>
      </c>
      <c r="CA34" s="205"/>
      <c r="CB34" s="204" t="s">
        <v>167</v>
      </c>
      <c r="CC34" s="205"/>
      <c r="CD34" s="204" t="s">
        <v>167</v>
      </c>
      <c r="CE34" s="205"/>
      <c r="CF34" s="204" t="s">
        <v>167</v>
      </c>
      <c r="CG34" s="205"/>
      <c r="CH34" s="204" t="s">
        <v>167</v>
      </c>
      <c r="CI34" s="205"/>
      <c r="CJ34" s="218" t="s">
        <v>167</v>
      </c>
      <c r="CK34" s="219"/>
      <c r="CL34" s="218" t="s">
        <v>167</v>
      </c>
      <c r="CM34" s="219"/>
      <c r="CN34" s="218" t="s">
        <v>167</v>
      </c>
      <c r="CO34" s="219"/>
      <c r="CP34" s="218" t="s">
        <v>167</v>
      </c>
      <c r="CQ34" s="219"/>
      <c r="CR34" s="248" t="s">
        <v>167</v>
      </c>
      <c r="CS34" s="249"/>
      <c r="CT34" s="248" t="s">
        <v>167</v>
      </c>
      <c r="CU34" s="249"/>
      <c r="CV34" s="248" t="s">
        <v>167</v>
      </c>
      <c r="CW34" s="249"/>
      <c r="CX34" s="248" t="s">
        <v>167</v>
      </c>
      <c r="CY34" s="249"/>
      <c r="CZ34" s="233" t="s">
        <v>167</v>
      </c>
      <c r="DA34" s="234"/>
      <c r="DB34" s="233" t="s">
        <v>167</v>
      </c>
      <c r="DC34" s="234"/>
      <c r="DD34" s="233" t="s">
        <v>167</v>
      </c>
      <c r="DE34" s="234"/>
      <c r="DF34" s="233" t="s">
        <v>167</v>
      </c>
      <c r="DG34" s="234"/>
      <c r="DH34" s="233" t="s">
        <v>167</v>
      </c>
      <c r="DI34" s="234"/>
      <c r="DJ34" s="233" t="s">
        <v>167</v>
      </c>
      <c r="DK34" s="234"/>
      <c r="DL34" s="264" t="s">
        <v>167</v>
      </c>
      <c r="DM34" s="265"/>
      <c r="DN34" s="264" t="s">
        <v>167</v>
      </c>
      <c r="DO34" s="265"/>
      <c r="DP34" s="264" t="s">
        <v>167</v>
      </c>
      <c r="DQ34" s="265"/>
      <c r="DR34" s="264" t="s">
        <v>167</v>
      </c>
      <c r="DS34" s="265"/>
      <c r="DT34" s="264" t="s">
        <v>167</v>
      </c>
      <c r="DU34" s="265"/>
      <c r="DV34" s="264" t="s">
        <v>167</v>
      </c>
      <c r="DW34" s="265"/>
      <c r="DX34" s="190" t="s">
        <v>167</v>
      </c>
      <c r="DY34" s="191"/>
      <c r="DZ34" s="190" t="s">
        <v>167</v>
      </c>
      <c r="EA34" s="191"/>
      <c r="EB34" s="190" t="s">
        <v>167</v>
      </c>
      <c r="EC34" s="191"/>
      <c r="ED34" s="190" t="s">
        <v>167</v>
      </c>
      <c r="EE34" s="191"/>
      <c r="EF34" s="190" t="s">
        <v>167</v>
      </c>
      <c r="EG34" s="191"/>
      <c r="EH34" s="190" t="s">
        <v>167</v>
      </c>
      <c r="EI34" s="191"/>
    </row>
    <row r="35" spans="1:139" outlineLevel="1" x14ac:dyDescent="0.2">
      <c r="A35"/>
      <c r="B35"/>
      <c r="E35" s="187"/>
      <c r="G35" s="187"/>
      <c r="I35" s="201"/>
      <c r="K35" s="201"/>
      <c r="M35" s="201"/>
      <c r="O35" s="201"/>
      <c r="Q35" s="215"/>
      <c r="S35" s="215"/>
      <c r="U35" s="215"/>
      <c r="W35" s="215"/>
      <c r="Y35" s="245"/>
      <c r="AA35" s="245"/>
      <c r="AC35" s="245"/>
      <c r="AE35" s="245"/>
      <c r="AG35" s="245"/>
      <c r="AI35" s="245"/>
      <c r="AK35" s="230"/>
      <c r="AM35" s="230"/>
      <c r="AO35" s="230"/>
      <c r="AQ35" s="230"/>
      <c r="AS35" s="230"/>
      <c r="AU35" s="230"/>
      <c r="AW35" s="261"/>
      <c r="AY35" s="261"/>
      <c r="BA35" s="261"/>
      <c r="BC35" s="261"/>
      <c r="BE35" s="261"/>
      <c r="BG35" s="261"/>
      <c r="BI35" s="261"/>
      <c r="BK35" s="261"/>
      <c r="BM35" s="187"/>
      <c r="BO35" s="187"/>
      <c r="BQ35" s="187"/>
      <c r="BS35" s="187"/>
      <c r="BU35" s="201"/>
      <c r="BW35" s="201"/>
      <c r="BY35" s="201"/>
      <c r="CA35" s="201"/>
      <c r="CC35" s="201"/>
      <c r="CE35" s="201"/>
      <c r="CG35" s="201"/>
      <c r="CI35" s="201"/>
      <c r="CK35" s="215"/>
      <c r="CM35" s="215"/>
      <c r="CO35" s="215"/>
      <c r="CQ35" s="215"/>
      <c r="CS35" s="245"/>
      <c r="CU35" s="245"/>
      <c r="CW35" s="245"/>
      <c r="CY35" s="245"/>
      <c r="DA35" s="230"/>
      <c r="DC35" s="230"/>
      <c r="DE35" s="230"/>
      <c r="DG35" s="230"/>
      <c r="DI35" s="230"/>
      <c r="DK35" s="230"/>
      <c r="DM35" s="261"/>
      <c r="DO35" s="261"/>
      <c r="DQ35" s="261"/>
      <c r="DS35" s="261"/>
      <c r="DU35" s="261"/>
      <c r="DW35" s="261"/>
      <c r="DY35" s="187"/>
      <c r="EA35" s="187"/>
      <c r="EC35" s="187"/>
      <c r="EE35" s="187"/>
      <c r="EG35" s="187"/>
      <c r="EI35" s="187"/>
    </row>
    <row r="36" spans="1:139" outlineLevel="1" x14ac:dyDescent="0.2">
      <c r="A36"/>
      <c r="B36" s="7" t="s">
        <v>72</v>
      </c>
      <c r="C36" s="10">
        <v>69.184495087201697</v>
      </c>
      <c r="D36" s="192">
        <v>67.671182706168437</v>
      </c>
      <c r="E36" s="189"/>
      <c r="F36" s="192">
        <v>70.755287658801606</v>
      </c>
      <c r="G36" s="189"/>
      <c r="H36" s="206">
        <v>71.391606332212461</v>
      </c>
      <c r="I36" s="203"/>
      <c r="J36" s="206">
        <v>74.056342792502235</v>
      </c>
      <c r="K36" s="203"/>
      <c r="L36" s="206">
        <v>61.426632962962564</v>
      </c>
      <c r="M36" s="203"/>
      <c r="N36" s="206">
        <v>65.463591333818144</v>
      </c>
      <c r="O36" s="203"/>
      <c r="P36" s="220">
        <v>71.543830612491647</v>
      </c>
      <c r="Q36" s="217"/>
      <c r="R36" s="220">
        <v>74.685874173036154</v>
      </c>
      <c r="S36" s="217"/>
      <c r="T36" s="220">
        <v>59.458330401466121</v>
      </c>
      <c r="U36" s="217"/>
      <c r="V36" s="220">
        <v>62.294566007084377</v>
      </c>
      <c r="W36" s="217"/>
      <c r="X36" s="250">
        <v>66.179602275926101</v>
      </c>
      <c r="Y36" s="247"/>
      <c r="Z36" s="250">
        <v>62.619756925032739</v>
      </c>
      <c r="AA36" s="247"/>
      <c r="AB36" s="250">
        <v>59.185708890042967</v>
      </c>
      <c r="AC36" s="247"/>
      <c r="AD36" s="250">
        <v>76.881757970420509</v>
      </c>
      <c r="AE36" s="247"/>
      <c r="AF36" s="250">
        <v>73.571726485962074</v>
      </c>
      <c r="AG36" s="247"/>
      <c r="AH36" s="250">
        <v>66.137118666590737</v>
      </c>
      <c r="AI36" s="247"/>
      <c r="AJ36" s="235">
        <v>64.649863299416566</v>
      </c>
      <c r="AK36" s="232"/>
      <c r="AL36" s="235">
        <v>60.071148130318996</v>
      </c>
      <c r="AM36" s="232"/>
      <c r="AN36" s="235">
        <v>57.642933058822791</v>
      </c>
      <c r="AO36" s="232"/>
      <c r="AP36" s="235">
        <v>68.527251426322124</v>
      </c>
      <c r="AQ36" s="232"/>
      <c r="AR36" s="235">
        <v>74.48255344468528</v>
      </c>
      <c r="AS36" s="232"/>
      <c r="AT36" s="235">
        <v>64.994735390061621</v>
      </c>
      <c r="AU36" s="232"/>
      <c r="AV36" s="266">
        <v>65.810243762265145</v>
      </c>
      <c r="AW36" s="263"/>
      <c r="AX36" s="266">
        <v>67.752338710563748</v>
      </c>
      <c r="AY36" s="263"/>
      <c r="AZ36" s="266">
        <v>70.242821101085397</v>
      </c>
      <c r="BA36" s="263"/>
      <c r="BB36" s="266">
        <v>74.3495831219021</v>
      </c>
      <c r="BC36" s="263"/>
      <c r="BD36" s="266">
        <v>62.600407824584813</v>
      </c>
      <c r="BE36" s="263"/>
      <c r="BF36" s="266">
        <v>68.153098770821131</v>
      </c>
      <c r="BG36" s="263"/>
      <c r="BH36" s="266">
        <v>68.009077688934042</v>
      </c>
      <c r="BI36" s="263"/>
      <c r="BJ36" s="266">
        <v>68.407684464610966</v>
      </c>
      <c r="BK36" s="263"/>
      <c r="BL36" s="192">
        <v>69.646381974124125</v>
      </c>
      <c r="BM36" s="189"/>
      <c r="BN36" s="192">
        <v>72.976638030210722</v>
      </c>
      <c r="BO36" s="189"/>
      <c r="BP36" s="192">
        <v>65.75461877334601</v>
      </c>
      <c r="BQ36" s="189"/>
      <c r="BR36" s="192">
        <v>68.580119930501326</v>
      </c>
      <c r="BS36" s="189"/>
      <c r="BT36" s="206">
        <v>68.35830024585718</v>
      </c>
      <c r="BU36" s="203"/>
      <c r="BV36" s="206">
        <v>75.048463607537585</v>
      </c>
      <c r="BW36" s="203"/>
      <c r="BX36" s="206">
        <v>65.842340215551545</v>
      </c>
      <c r="BY36" s="203"/>
      <c r="BZ36" s="206">
        <v>69.980488746769524</v>
      </c>
      <c r="CA36" s="203"/>
      <c r="CB36" s="206">
        <v>67.512248568695213</v>
      </c>
      <c r="CC36" s="203"/>
      <c r="CD36" s="206">
        <v>70.274528197770664</v>
      </c>
      <c r="CE36" s="203"/>
      <c r="CF36" s="206">
        <v>70.177847099592086</v>
      </c>
      <c r="CG36" s="203"/>
      <c r="CH36" s="206">
        <v>68.770924312520322</v>
      </c>
      <c r="CI36" s="203"/>
      <c r="CJ36" s="220">
        <v>61.94200189369419</v>
      </c>
      <c r="CK36" s="217"/>
      <c r="CL36" s="220">
        <v>66.199724113064136</v>
      </c>
      <c r="CM36" s="217"/>
      <c r="CN36" s="220">
        <v>72.103151952544366</v>
      </c>
      <c r="CO36" s="217"/>
      <c r="CP36" s="220">
        <v>76.745993152227058</v>
      </c>
      <c r="CQ36" s="217"/>
      <c r="CR36" s="250">
        <v>62.042602336398993</v>
      </c>
      <c r="CS36" s="247"/>
      <c r="CT36" s="250">
        <v>64.462650948981761</v>
      </c>
      <c r="CU36" s="247"/>
      <c r="CV36" s="250">
        <v>69.949635282748233</v>
      </c>
      <c r="CW36" s="247"/>
      <c r="CX36" s="250">
        <v>73.543060413753636</v>
      </c>
      <c r="CY36" s="247"/>
      <c r="CZ36" s="235">
        <v>68.598418627451267</v>
      </c>
      <c r="DA36" s="232"/>
      <c r="DB36" s="235">
        <v>70.438419228701562</v>
      </c>
      <c r="DC36" s="232"/>
      <c r="DD36" s="235">
        <v>66.487208374568098</v>
      </c>
      <c r="DE36" s="232"/>
      <c r="DF36" s="235">
        <v>75.391544675332469</v>
      </c>
      <c r="DG36" s="232"/>
      <c r="DH36" s="235">
        <v>71.861206351153427</v>
      </c>
      <c r="DI36" s="232"/>
      <c r="DJ36" s="235">
        <v>70.45438413608143</v>
      </c>
      <c r="DK36" s="232"/>
      <c r="DL36" s="266">
        <v>72.432176197939782</v>
      </c>
      <c r="DM36" s="263"/>
      <c r="DN36" s="266">
        <v>80.962788879941883</v>
      </c>
      <c r="DO36" s="263" t="s">
        <v>228</v>
      </c>
      <c r="DP36" s="266">
        <v>62.76483901227283</v>
      </c>
      <c r="DQ36" s="263"/>
      <c r="DR36" s="266">
        <v>62.852905946554785</v>
      </c>
      <c r="DS36" s="263"/>
      <c r="DT36" s="266">
        <v>67.044668037035549</v>
      </c>
      <c r="DU36" s="263"/>
      <c r="DV36" s="266">
        <v>73.642385806352223</v>
      </c>
      <c r="DW36" s="263"/>
      <c r="DX36" s="192">
        <v>67.653979755724052</v>
      </c>
      <c r="DY36" s="189"/>
      <c r="DZ36" s="192">
        <v>72.551228482843655</v>
      </c>
      <c r="EA36" s="189"/>
      <c r="EB36" s="192">
        <v>68.477736785154946</v>
      </c>
      <c r="EC36" s="189"/>
      <c r="ED36" s="192">
        <v>70.472677427864781</v>
      </c>
      <c r="EE36" s="189"/>
      <c r="EF36" s="192">
        <v>65.592086496341736</v>
      </c>
      <c r="EG36" s="189"/>
      <c r="EH36" s="192">
        <v>68.512769416330158</v>
      </c>
      <c r="EI36" s="189"/>
    </row>
    <row r="37" spans="1:139" outlineLevel="1" x14ac:dyDescent="0.2">
      <c r="A37"/>
      <c r="B37" s="14" t="s">
        <v>73</v>
      </c>
      <c r="C37" s="10">
        <v>41.18437693774294</v>
      </c>
      <c r="D37" s="192">
        <v>39.885590596421707</v>
      </c>
      <c r="E37" s="189"/>
      <c r="F37" s="192">
        <v>42.53249512048712</v>
      </c>
      <c r="G37" s="189"/>
      <c r="H37" s="206">
        <v>42.737831149320911</v>
      </c>
      <c r="I37" s="203"/>
      <c r="J37" s="206">
        <v>46.000378668047126</v>
      </c>
      <c r="K37" s="203"/>
      <c r="L37" s="206">
        <v>35.098243830992537</v>
      </c>
      <c r="M37" s="203"/>
      <c r="N37" s="206">
        <v>36.973367544353124</v>
      </c>
      <c r="O37" s="203"/>
      <c r="P37" s="220">
        <v>42.983280383172144</v>
      </c>
      <c r="Q37" s="217"/>
      <c r="R37" s="220">
        <v>46.508656254786388</v>
      </c>
      <c r="S37" s="217"/>
      <c r="T37" s="220">
        <v>33.316217568001889</v>
      </c>
      <c r="U37" s="217"/>
      <c r="V37" s="220">
        <v>33.973672543283634</v>
      </c>
      <c r="W37" s="217"/>
      <c r="X37" s="250">
        <v>42.942421786264191</v>
      </c>
      <c r="Y37" s="247"/>
      <c r="Z37" s="250">
        <v>40.105263560964026</v>
      </c>
      <c r="AA37" s="247"/>
      <c r="AB37" s="250">
        <v>29.448759108005603</v>
      </c>
      <c r="AC37" s="247"/>
      <c r="AD37" s="250">
        <v>40.393549790778039</v>
      </c>
      <c r="AE37" s="247"/>
      <c r="AF37" s="250">
        <v>41.438745857530797</v>
      </c>
      <c r="AG37" s="247"/>
      <c r="AH37" s="250">
        <v>38.851111490783452</v>
      </c>
      <c r="AI37" s="247"/>
      <c r="AJ37" s="235">
        <v>40.790091791388335</v>
      </c>
      <c r="AK37" s="232"/>
      <c r="AL37" s="235">
        <v>38.490542289194408</v>
      </c>
      <c r="AM37" s="232"/>
      <c r="AN37" s="235">
        <v>28.46268528939494</v>
      </c>
      <c r="AO37" s="232"/>
      <c r="AP37" s="235">
        <v>33.045709209209988</v>
      </c>
      <c r="AQ37" s="232"/>
      <c r="AR37" s="235">
        <v>41.475445517266252</v>
      </c>
      <c r="AS37" s="232"/>
      <c r="AT37" s="235">
        <v>37.294724127206202</v>
      </c>
      <c r="AU37" s="232"/>
      <c r="AV37" s="266">
        <v>38.333870455556713</v>
      </c>
      <c r="AW37" s="263"/>
      <c r="AX37" s="266">
        <v>37.980554428629247</v>
      </c>
      <c r="AY37" s="263"/>
      <c r="AZ37" s="266">
        <v>42.166567795639132</v>
      </c>
      <c r="BA37" s="263"/>
      <c r="BB37" s="266">
        <v>49.080088667582622</v>
      </c>
      <c r="BC37" s="263"/>
      <c r="BD37" s="266">
        <v>36.035071316026759</v>
      </c>
      <c r="BE37" s="263"/>
      <c r="BF37" s="266">
        <v>42.425088514773876</v>
      </c>
      <c r="BG37" s="263"/>
      <c r="BH37" s="266">
        <v>39.592307155582176</v>
      </c>
      <c r="BI37" s="263"/>
      <c r="BJ37" s="266">
        <v>33.324923502533643</v>
      </c>
      <c r="BK37" s="263"/>
      <c r="BL37" s="192">
        <v>42.026203384244603</v>
      </c>
      <c r="BM37" s="189"/>
      <c r="BN37" s="192">
        <v>48.792331677451948</v>
      </c>
      <c r="BO37" s="189" t="s">
        <v>198</v>
      </c>
      <c r="BP37" s="192">
        <v>37.808523573444312</v>
      </c>
      <c r="BQ37" s="189"/>
      <c r="BR37" s="192">
        <v>36.402802732290496</v>
      </c>
      <c r="BS37" s="189"/>
      <c r="BT37" s="206">
        <v>43.756170525584203</v>
      </c>
      <c r="BU37" s="203"/>
      <c r="BV37" s="206">
        <v>46.122526983108848</v>
      </c>
      <c r="BW37" s="203"/>
      <c r="BX37" s="206">
        <v>36.340504180863761</v>
      </c>
      <c r="BY37" s="203"/>
      <c r="BZ37" s="206">
        <v>37.626875232739707</v>
      </c>
      <c r="CA37" s="203"/>
      <c r="CB37" s="206">
        <v>35.835761007969609</v>
      </c>
      <c r="CC37" s="203"/>
      <c r="CD37" s="206">
        <v>49.208190781002827</v>
      </c>
      <c r="CE37" s="203" t="s">
        <v>212</v>
      </c>
      <c r="CF37" s="206">
        <v>46.32329464901251</v>
      </c>
      <c r="CG37" s="203"/>
      <c r="CH37" s="206">
        <v>40.449484609359203</v>
      </c>
      <c r="CI37" s="203"/>
      <c r="CJ37" s="220">
        <v>33.433649204652944</v>
      </c>
      <c r="CK37" s="217"/>
      <c r="CL37" s="220">
        <v>37.795938888441</v>
      </c>
      <c r="CM37" s="217"/>
      <c r="CN37" s="220">
        <v>45.581145855540505</v>
      </c>
      <c r="CO37" s="217"/>
      <c r="CP37" s="220">
        <v>48.94627976214047</v>
      </c>
      <c r="CQ37" s="217"/>
      <c r="CR37" s="250">
        <v>32.796221034186502</v>
      </c>
      <c r="CS37" s="247"/>
      <c r="CT37" s="250">
        <v>36.184118659025664</v>
      </c>
      <c r="CU37" s="247"/>
      <c r="CV37" s="250">
        <v>42.700817904267268</v>
      </c>
      <c r="CW37" s="247"/>
      <c r="CX37" s="250">
        <v>45.279185577503874</v>
      </c>
      <c r="CY37" s="247"/>
      <c r="CZ37" s="235">
        <v>39.592050850905807</v>
      </c>
      <c r="DA37" s="232"/>
      <c r="DB37" s="235">
        <v>41.464660349792112</v>
      </c>
      <c r="DC37" s="232"/>
      <c r="DD37" s="235">
        <v>40.657062531889174</v>
      </c>
      <c r="DE37" s="232"/>
      <c r="DF37" s="235">
        <v>46.694182088527207</v>
      </c>
      <c r="DG37" s="232"/>
      <c r="DH37" s="235">
        <v>45.355467393239117</v>
      </c>
      <c r="DI37" s="232"/>
      <c r="DJ37" s="235">
        <v>45.154005992949308</v>
      </c>
      <c r="DK37" s="232"/>
      <c r="DL37" s="266">
        <v>46.148118687225882</v>
      </c>
      <c r="DM37" s="263"/>
      <c r="DN37" s="266">
        <v>52.78038173725335</v>
      </c>
      <c r="DO37" s="263"/>
      <c r="DP37" s="266">
        <v>37.8079720036935</v>
      </c>
      <c r="DQ37" s="263"/>
      <c r="DR37" s="266">
        <v>35.07260912067256</v>
      </c>
      <c r="DS37" s="263"/>
      <c r="DT37" s="266">
        <v>37.610941080647379</v>
      </c>
      <c r="DU37" s="263"/>
      <c r="DV37" s="266">
        <v>41.225156079958765</v>
      </c>
      <c r="DW37" s="263"/>
      <c r="DX37" s="192">
        <v>43.296642139468865</v>
      </c>
      <c r="DY37" s="189"/>
      <c r="DZ37" s="192">
        <v>50.717950083349479</v>
      </c>
      <c r="EA37" s="189"/>
      <c r="EB37" s="192">
        <v>40.124666128019228</v>
      </c>
      <c r="EC37" s="189"/>
      <c r="ED37" s="192">
        <v>38.854476278030816</v>
      </c>
      <c r="EE37" s="189"/>
      <c r="EF37" s="192">
        <v>34.667963984341633</v>
      </c>
      <c r="EG37" s="189"/>
      <c r="EH37" s="192">
        <v>37.006373981569325</v>
      </c>
      <c r="EI37" s="189"/>
    </row>
    <row r="38" spans="1:139" outlineLevel="1" x14ac:dyDescent="0.2">
      <c r="A38"/>
      <c r="B38" s="15" t="s">
        <v>74</v>
      </c>
      <c r="C38" s="12">
        <v>11.733922452882084</v>
      </c>
      <c r="D38" s="193">
        <v>10.542096385804037</v>
      </c>
      <c r="E38" s="189"/>
      <c r="F38" s="193">
        <v>12.971017686007116</v>
      </c>
      <c r="G38" s="189"/>
      <c r="H38" s="207">
        <v>10.923930369844761</v>
      </c>
      <c r="I38" s="203"/>
      <c r="J38" s="207">
        <v>13.827854629816034</v>
      </c>
      <c r="K38" s="203"/>
      <c r="L38" s="207">
        <v>9.9012066520926805</v>
      </c>
      <c r="M38" s="203"/>
      <c r="N38" s="207">
        <v>11.597480824906354</v>
      </c>
      <c r="O38" s="203"/>
      <c r="P38" s="221">
        <v>11.163922609317783</v>
      </c>
      <c r="Q38" s="217"/>
      <c r="R38" s="221">
        <v>14.090484913313933</v>
      </c>
      <c r="S38" s="217"/>
      <c r="T38" s="221">
        <v>9.2233689784994297</v>
      </c>
      <c r="U38" s="217"/>
      <c r="V38" s="221">
        <v>10.561326263579</v>
      </c>
      <c r="W38" s="217"/>
      <c r="X38" s="251">
        <v>7.246896159754499</v>
      </c>
      <c r="Y38" s="247"/>
      <c r="Z38" s="251">
        <v>14.36594882712882</v>
      </c>
      <c r="AA38" s="247"/>
      <c r="AB38" s="251">
        <v>7.2044717750184919</v>
      </c>
      <c r="AC38" s="247"/>
      <c r="AD38" s="251">
        <v>11.235851586494432</v>
      </c>
      <c r="AE38" s="247"/>
      <c r="AF38" s="251">
        <v>14.936236575226335</v>
      </c>
      <c r="AG38" s="247"/>
      <c r="AH38" s="251">
        <v>11.524574292385672</v>
      </c>
      <c r="AI38" s="247"/>
      <c r="AJ38" s="236">
        <v>5.5246295930926284</v>
      </c>
      <c r="AK38" s="232"/>
      <c r="AL38" s="236">
        <v>13.239249389433333</v>
      </c>
      <c r="AM38" s="232"/>
      <c r="AN38" s="236">
        <v>7.6472135857660994</v>
      </c>
      <c r="AO38" s="232"/>
      <c r="AP38" s="236">
        <v>9.21807831196897</v>
      </c>
      <c r="AQ38" s="232"/>
      <c r="AR38" s="236">
        <v>16.972736416826688</v>
      </c>
      <c r="AS38" s="232"/>
      <c r="AT38" s="236">
        <v>10.593180496040951</v>
      </c>
      <c r="AU38" s="232"/>
      <c r="AV38" s="267">
        <v>11.951055975999838</v>
      </c>
      <c r="AW38" s="263"/>
      <c r="AX38" s="267">
        <v>13.416603232263572</v>
      </c>
      <c r="AY38" s="263"/>
      <c r="AZ38" s="267">
        <v>12.979037215905265</v>
      </c>
      <c r="BA38" s="263"/>
      <c r="BB38" s="267">
        <v>16.631353941325482</v>
      </c>
      <c r="BC38" s="263"/>
      <c r="BD38" s="267">
        <v>6.2008782479791904</v>
      </c>
      <c r="BE38" s="263"/>
      <c r="BF38" s="267">
        <v>12.26714486273492</v>
      </c>
      <c r="BG38" s="263"/>
      <c r="BH38" s="267">
        <v>7.1376115196896599</v>
      </c>
      <c r="BI38" s="263"/>
      <c r="BJ38" s="267">
        <v>4.930226741835928</v>
      </c>
      <c r="BK38" s="263"/>
      <c r="BL38" s="193">
        <v>11.904644545423235</v>
      </c>
      <c r="BM38" s="189"/>
      <c r="BN38" s="193">
        <v>16.638848456062675</v>
      </c>
      <c r="BO38" s="189" t="s">
        <v>198</v>
      </c>
      <c r="BP38" s="193">
        <v>9.2199965339938768</v>
      </c>
      <c r="BQ38" s="189"/>
      <c r="BR38" s="193">
        <v>9.379442387225831</v>
      </c>
      <c r="BS38" s="189"/>
      <c r="BT38" s="207">
        <v>10.799689695827931</v>
      </c>
      <c r="BU38" s="203"/>
      <c r="BV38" s="207">
        <v>15.732193125142095</v>
      </c>
      <c r="BW38" s="203"/>
      <c r="BX38" s="207">
        <v>8.8777092377856679</v>
      </c>
      <c r="BY38" s="203"/>
      <c r="BZ38" s="207">
        <v>11.485728086080751</v>
      </c>
      <c r="CA38" s="203"/>
      <c r="CB38" s="207">
        <v>10.032334512200443</v>
      </c>
      <c r="CC38" s="203"/>
      <c r="CD38" s="207">
        <v>15.629943346944781</v>
      </c>
      <c r="CE38" s="203"/>
      <c r="CF38" s="207">
        <v>13.518532515213773</v>
      </c>
      <c r="CG38" s="203"/>
      <c r="CH38" s="207">
        <v>10.210176029568625</v>
      </c>
      <c r="CI38" s="203"/>
      <c r="CJ38" s="221">
        <v>8.4845890372337802</v>
      </c>
      <c r="CK38" s="217"/>
      <c r="CL38" s="221">
        <v>9.8677507470086336</v>
      </c>
      <c r="CM38" s="217"/>
      <c r="CN38" s="221">
        <v>12.337129142322697</v>
      </c>
      <c r="CO38" s="217"/>
      <c r="CP38" s="221">
        <v>17.009888788746135</v>
      </c>
      <c r="CQ38" s="217" t="s">
        <v>217</v>
      </c>
      <c r="CR38" s="251">
        <v>8.5787965281387102</v>
      </c>
      <c r="CS38" s="247"/>
      <c r="CT38" s="251">
        <v>13.83438341320643</v>
      </c>
      <c r="CU38" s="247" t="s">
        <v>219</v>
      </c>
      <c r="CV38" s="251">
        <v>11.282917136454415</v>
      </c>
      <c r="CW38" s="247"/>
      <c r="CX38" s="251">
        <v>12.690494194759687</v>
      </c>
      <c r="CY38" s="247"/>
      <c r="CZ38" s="236">
        <v>9.7911162711998863</v>
      </c>
      <c r="DA38" s="232"/>
      <c r="DB38" s="236">
        <v>12.576035101789703</v>
      </c>
      <c r="DC38" s="232"/>
      <c r="DD38" s="236">
        <v>11.863286613908988</v>
      </c>
      <c r="DE38" s="232"/>
      <c r="DF38" s="236">
        <v>14.642560667837962</v>
      </c>
      <c r="DG38" s="232"/>
      <c r="DH38" s="236">
        <v>14.126096408626337</v>
      </c>
      <c r="DI38" s="232"/>
      <c r="DJ38" s="236">
        <v>17.8653493126758</v>
      </c>
      <c r="DK38" s="232"/>
      <c r="DL38" s="267">
        <v>12.399217297431967</v>
      </c>
      <c r="DM38" s="263"/>
      <c r="DN38" s="267">
        <v>18.583999769184569</v>
      </c>
      <c r="DO38" s="263" t="s">
        <v>228</v>
      </c>
      <c r="DP38" s="267">
        <v>8.243678378248422</v>
      </c>
      <c r="DQ38" s="263"/>
      <c r="DR38" s="267">
        <v>9.4647081360567178</v>
      </c>
      <c r="DS38" s="263"/>
      <c r="DT38" s="267">
        <v>9.7812573633460609</v>
      </c>
      <c r="DU38" s="263"/>
      <c r="DV38" s="267">
        <v>9.8731807130400089</v>
      </c>
      <c r="DW38" s="263"/>
      <c r="DX38" s="193">
        <v>13.408732678444702</v>
      </c>
      <c r="DY38" s="189"/>
      <c r="DZ38" s="193">
        <v>20.13782731922559</v>
      </c>
      <c r="EA38" s="189" t="s">
        <v>234</v>
      </c>
      <c r="EB38" s="193">
        <v>10.038838976713986</v>
      </c>
      <c r="EC38" s="189"/>
      <c r="ED38" s="193">
        <v>10.165417562914081</v>
      </c>
      <c r="EE38" s="189"/>
      <c r="EF38" s="193">
        <v>7.9926407072326633</v>
      </c>
      <c r="EG38" s="189"/>
      <c r="EH38" s="193">
        <v>7.3179696699545662</v>
      </c>
      <c r="EI38" s="189"/>
    </row>
    <row r="39" spans="1:139" outlineLevel="1" x14ac:dyDescent="0.2">
      <c r="A39"/>
      <c r="B39" s="15" t="s">
        <v>75</v>
      </c>
      <c r="C39" s="12">
        <v>29.45045448486086</v>
      </c>
      <c r="D39" s="193">
        <v>29.343494210617671</v>
      </c>
      <c r="E39" s="189"/>
      <c r="F39" s="193">
        <v>29.561477434480008</v>
      </c>
      <c r="G39" s="189"/>
      <c r="H39" s="207">
        <v>31.813900779476146</v>
      </c>
      <c r="I39" s="203"/>
      <c r="J39" s="207">
        <v>32.172524038231096</v>
      </c>
      <c r="K39" s="203"/>
      <c r="L39" s="207">
        <v>25.197037178899858</v>
      </c>
      <c r="M39" s="203"/>
      <c r="N39" s="207">
        <v>25.375886719446768</v>
      </c>
      <c r="O39" s="203"/>
      <c r="P39" s="221">
        <v>31.81935777385436</v>
      </c>
      <c r="Q39" s="217"/>
      <c r="R39" s="221">
        <v>32.418171341472451</v>
      </c>
      <c r="S39" s="217"/>
      <c r="T39" s="221">
        <v>24.092848589502456</v>
      </c>
      <c r="U39" s="217"/>
      <c r="V39" s="221">
        <v>23.412346279704632</v>
      </c>
      <c r="W39" s="217"/>
      <c r="X39" s="251">
        <v>35.695525626509692</v>
      </c>
      <c r="Y39" s="247"/>
      <c r="Z39" s="251">
        <v>25.739314733835208</v>
      </c>
      <c r="AA39" s="247"/>
      <c r="AB39" s="251">
        <v>22.244287332987113</v>
      </c>
      <c r="AC39" s="247"/>
      <c r="AD39" s="251">
        <v>29.157698204283609</v>
      </c>
      <c r="AE39" s="247"/>
      <c r="AF39" s="251">
        <v>26.502509282304459</v>
      </c>
      <c r="AG39" s="247"/>
      <c r="AH39" s="251">
        <v>27.326537198397784</v>
      </c>
      <c r="AI39" s="247"/>
      <c r="AJ39" s="236">
        <v>35.265462198295708</v>
      </c>
      <c r="AK39" s="232"/>
      <c r="AL39" s="236">
        <v>25.251292899761072</v>
      </c>
      <c r="AM39" s="232"/>
      <c r="AN39" s="236">
        <v>20.815471703628841</v>
      </c>
      <c r="AO39" s="232"/>
      <c r="AP39" s="236">
        <v>23.827630897241018</v>
      </c>
      <c r="AQ39" s="232"/>
      <c r="AR39" s="236">
        <v>24.50270910043956</v>
      </c>
      <c r="AS39" s="232"/>
      <c r="AT39" s="236">
        <v>26.701543631165251</v>
      </c>
      <c r="AU39" s="232"/>
      <c r="AV39" s="267">
        <v>26.382814479556878</v>
      </c>
      <c r="AW39" s="263"/>
      <c r="AX39" s="267">
        <v>24.563951196365675</v>
      </c>
      <c r="AY39" s="263"/>
      <c r="AZ39" s="267">
        <v>29.18753057973387</v>
      </c>
      <c r="BA39" s="263"/>
      <c r="BB39" s="267">
        <v>32.448734726257136</v>
      </c>
      <c r="BC39" s="263"/>
      <c r="BD39" s="267">
        <v>29.834193068047568</v>
      </c>
      <c r="BE39" s="263"/>
      <c r="BF39" s="267">
        <v>30.157943652038952</v>
      </c>
      <c r="BG39" s="263"/>
      <c r="BH39" s="267">
        <v>32.454695635892513</v>
      </c>
      <c r="BI39" s="263"/>
      <c r="BJ39" s="267">
        <v>28.394696760697716</v>
      </c>
      <c r="BK39" s="263"/>
      <c r="BL39" s="193">
        <v>30.121558838821368</v>
      </c>
      <c r="BM39" s="189"/>
      <c r="BN39" s="193">
        <v>32.153483221389273</v>
      </c>
      <c r="BO39" s="189"/>
      <c r="BP39" s="193">
        <v>28.588527039450437</v>
      </c>
      <c r="BQ39" s="189"/>
      <c r="BR39" s="193">
        <v>27.023360345064663</v>
      </c>
      <c r="BS39" s="189"/>
      <c r="BT39" s="207">
        <v>32.956480829756273</v>
      </c>
      <c r="BU39" s="203"/>
      <c r="BV39" s="207">
        <v>30.390333857966755</v>
      </c>
      <c r="BW39" s="203"/>
      <c r="BX39" s="207">
        <v>27.462794943078094</v>
      </c>
      <c r="BY39" s="203"/>
      <c r="BZ39" s="207">
        <v>26.141147146658952</v>
      </c>
      <c r="CA39" s="203"/>
      <c r="CB39" s="207">
        <v>25.80342649576917</v>
      </c>
      <c r="CC39" s="203"/>
      <c r="CD39" s="207">
        <v>33.578247434058049</v>
      </c>
      <c r="CE39" s="203"/>
      <c r="CF39" s="207">
        <v>32.804762133798739</v>
      </c>
      <c r="CG39" s="203"/>
      <c r="CH39" s="207">
        <v>30.239308579790578</v>
      </c>
      <c r="CI39" s="203"/>
      <c r="CJ39" s="221">
        <v>24.949060167419166</v>
      </c>
      <c r="CK39" s="217"/>
      <c r="CL39" s="221">
        <v>27.928188141432365</v>
      </c>
      <c r="CM39" s="217"/>
      <c r="CN39" s="221">
        <v>33.244016713217803</v>
      </c>
      <c r="CO39" s="217"/>
      <c r="CP39" s="221">
        <v>31.936390973394335</v>
      </c>
      <c r="CQ39" s="217"/>
      <c r="CR39" s="251">
        <v>24.217424506047795</v>
      </c>
      <c r="CS39" s="247"/>
      <c r="CT39" s="251">
        <v>22.349735245819232</v>
      </c>
      <c r="CU39" s="247"/>
      <c r="CV39" s="251">
        <v>31.417900767812853</v>
      </c>
      <c r="CW39" s="247"/>
      <c r="CX39" s="251">
        <v>32.588691382744187</v>
      </c>
      <c r="CY39" s="247"/>
      <c r="CZ39" s="236">
        <v>29.80093457970592</v>
      </c>
      <c r="DA39" s="232"/>
      <c r="DB39" s="236">
        <v>28.888625248002409</v>
      </c>
      <c r="DC39" s="232"/>
      <c r="DD39" s="236">
        <v>28.793775917980184</v>
      </c>
      <c r="DE39" s="232"/>
      <c r="DF39" s="236">
        <v>32.051621420689244</v>
      </c>
      <c r="DG39" s="232"/>
      <c r="DH39" s="236">
        <v>31.229370984612778</v>
      </c>
      <c r="DI39" s="232"/>
      <c r="DJ39" s="236">
        <v>27.288656680273512</v>
      </c>
      <c r="DK39" s="232"/>
      <c r="DL39" s="267">
        <v>33.748901389793915</v>
      </c>
      <c r="DM39" s="263"/>
      <c r="DN39" s="267">
        <v>34.196381968068785</v>
      </c>
      <c r="DO39" s="263"/>
      <c r="DP39" s="267">
        <v>29.564293625445082</v>
      </c>
      <c r="DQ39" s="263"/>
      <c r="DR39" s="267">
        <v>25.607900984615842</v>
      </c>
      <c r="DS39" s="263"/>
      <c r="DT39" s="267">
        <v>27.829683717301322</v>
      </c>
      <c r="DU39" s="263"/>
      <c r="DV39" s="267">
        <v>31.351975366918754</v>
      </c>
      <c r="DW39" s="263"/>
      <c r="DX39" s="193">
        <v>29.887909461024165</v>
      </c>
      <c r="DY39" s="189"/>
      <c r="DZ39" s="193">
        <v>30.580122764123889</v>
      </c>
      <c r="EA39" s="189"/>
      <c r="EB39" s="193">
        <v>30.085827151305242</v>
      </c>
      <c r="EC39" s="189"/>
      <c r="ED39" s="193">
        <v>28.689058715116733</v>
      </c>
      <c r="EE39" s="189"/>
      <c r="EF39" s="193">
        <v>26.675323277108966</v>
      </c>
      <c r="EG39" s="189"/>
      <c r="EH39" s="193">
        <v>29.688404311614757</v>
      </c>
      <c r="EI39" s="189"/>
    </row>
    <row r="40" spans="1:139" outlineLevel="1" x14ac:dyDescent="0.2">
      <c r="A40"/>
      <c r="B40" s="14"/>
      <c r="E40" s="187"/>
      <c r="G40" s="187"/>
      <c r="I40" s="201"/>
      <c r="K40" s="201"/>
      <c r="M40" s="201"/>
      <c r="O40" s="201"/>
      <c r="Q40" s="215"/>
      <c r="S40" s="215"/>
      <c r="U40" s="215"/>
      <c r="W40" s="215"/>
      <c r="Y40" s="245"/>
      <c r="AA40" s="245"/>
      <c r="AC40" s="245"/>
      <c r="AE40" s="245"/>
      <c r="AG40" s="245"/>
      <c r="AI40" s="245"/>
      <c r="AK40" s="230"/>
      <c r="AM40" s="230"/>
      <c r="AO40" s="230"/>
      <c r="AQ40" s="230"/>
      <c r="AS40" s="230"/>
      <c r="AU40" s="230"/>
      <c r="AW40" s="261"/>
      <c r="AY40" s="261"/>
      <c r="BA40" s="261"/>
      <c r="BC40" s="261"/>
      <c r="BE40" s="261"/>
      <c r="BG40" s="261"/>
      <c r="BI40" s="261"/>
      <c r="BK40" s="261"/>
      <c r="BM40" s="187"/>
      <c r="BO40" s="187"/>
      <c r="BQ40" s="187"/>
      <c r="BS40" s="187"/>
      <c r="BU40" s="201"/>
      <c r="BW40" s="201"/>
      <c r="BY40" s="201"/>
      <c r="CA40" s="201"/>
      <c r="CC40" s="201"/>
      <c r="CE40" s="201"/>
      <c r="CG40" s="201"/>
      <c r="CI40" s="201"/>
      <c r="CK40" s="215"/>
      <c r="CM40" s="215"/>
      <c r="CO40" s="215"/>
      <c r="CQ40" s="215"/>
      <c r="CS40" s="245"/>
      <c r="CU40" s="245"/>
      <c r="CW40" s="245"/>
      <c r="CY40" s="245"/>
      <c r="DA40" s="230"/>
      <c r="DC40" s="230"/>
      <c r="DE40" s="230"/>
      <c r="DG40" s="230"/>
      <c r="DI40" s="230"/>
      <c r="DK40" s="230"/>
      <c r="DM40" s="261"/>
      <c r="DO40" s="261"/>
      <c r="DQ40" s="261"/>
      <c r="DS40" s="261"/>
      <c r="DU40" s="261"/>
      <c r="DW40" s="261"/>
      <c r="DY40" s="187"/>
      <c r="EA40" s="187"/>
      <c r="EC40" s="187"/>
      <c r="EE40" s="187"/>
      <c r="EG40" s="187"/>
      <c r="EI40" s="187"/>
    </row>
    <row r="41" spans="1:139" outlineLevel="1" x14ac:dyDescent="0.2">
      <c r="A41"/>
      <c r="B41" s="11" t="s">
        <v>76</v>
      </c>
      <c r="C41" s="12">
        <v>28.000118149458753</v>
      </c>
      <c r="D41" s="193">
        <v>27.785592109746737</v>
      </c>
      <c r="E41" s="189"/>
      <c r="F41" s="193">
        <v>28.222792538314483</v>
      </c>
      <c r="G41" s="189"/>
      <c r="H41" s="207">
        <v>28.653775182891557</v>
      </c>
      <c r="I41" s="203"/>
      <c r="J41" s="207">
        <v>28.055964124455109</v>
      </c>
      <c r="K41" s="203"/>
      <c r="L41" s="207">
        <v>26.328389131970024</v>
      </c>
      <c r="M41" s="203"/>
      <c r="N41" s="207">
        <v>28.49022378946502</v>
      </c>
      <c r="O41" s="203"/>
      <c r="P41" s="221">
        <v>28.560550229319507</v>
      </c>
      <c r="Q41" s="217"/>
      <c r="R41" s="221">
        <v>28.177217918249777</v>
      </c>
      <c r="S41" s="217"/>
      <c r="T41" s="221">
        <v>26.142112833464235</v>
      </c>
      <c r="U41" s="217"/>
      <c r="V41" s="221">
        <v>28.320893463800743</v>
      </c>
      <c r="W41" s="217"/>
      <c r="X41" s="251">
        <v>23.23718048966191</v>
      </c>
      <c r="Y41" s="247"/>
      <c r="Z41" s="251">
        <v>22.514493364068709</v>
      </c>
      <c r="AA41" s="247"/>
      <c r="AB41" s="251">
        <v>29.736949782037364</v>
      </c>
      <c r="AC41" s="247"/>
      <c r="AD41" s="251">
        <v>36.488208179642477</v>
      </c>
      <c r="AE41" s="247" t="s">
        <v>108</v>
      </c>
      <c r="AF41" s="251">
        <v>32.132980628431277</v>
      </c>
      <c r="AG41" s="247"/>
      <c r="AH41" s="251">
        <v>27.286007175807278</v>
      </c>
      <c r="AI41" s="247"/>
      <c r="AJ41" s="236">
        <v>23.859771508028224</v>
      </c>
      <c r="AK41" s="232"/>
      <c r="AL41" s="236">
        <v>21.580605841124591</v>
      </c>
      <c r="AM41" s="232"/>
      <c r="AN41" s="236">
        <v>29.180247769427851</v>
      </c>
      <c r="AO41" s="232"/>
      <c r="AP41" s="236">
        <v>35.481542217112136</v>
      </c>
      <c r="AQ41" s="232"/>
      <c r="AR41" s="236">
        <v>33.007107927419035</v>
      </c>
      <c r="AS41" s="232"/>
      <c r="AT41" s="236">
        <v>27.700011262855412</v>
      </c>
      <c r="AU41" s="232"/>
      <c r="AV41" s="267">
        <v>27.476373306708432</v>
      </c>
      <c r="AW41" s="263"/>
      <c r="AX41" s="267">
        <v>29.771784281934501</v>
      </c>
      <c r="AY41" s="263"/>
      <c r="AZ41" s="267">
        <v>28.076253305446269</v>
      </c>
      <c r="BA41" s="263"/>
      <c r="BB41" s="267">
        <v>25.269494454319478</v>
      </c>
      <c r="BC41" s="263"/>
      <c r="BD41" s="267">
        <v>26.565336508558055</v>
      </c>
      <c r="BE41" s="263"/>
      <c r="BF41" s="267">
        <v>25.728010256047252</v>
      </c>
      <c r="BG41" s="263"/>
      <c r="BH41" s="267">
        <v>28.416770533351876</v>
      </c>
      <c r="BI41" s="263"/>
      <c r="BJ41" s="267">
        <v>35.08276096207733</v>
      </c>
      <c r="BK41" s="263"/>
      <c r="BL41" s="193">
        <v>27.620178589879522</v>
      </c>
      <c r="BM41" s="189"/>
      <c r="BN41" s="193">
        <v>24.184306352758774</v>
      </c>
      <c r="BO41" s="189"/>
      <c r="BP41" s="193">
        <v>27.946095199901706</v>
      </c>
      <c r="BQ41" s="189"/>
      <c r="BR41" s="193">
        <v>32.177317198210829</v>
      </c>
      <c r="BS41" s="189"/>
      <c r="BT41" s="207">
        <v>24.602129720272981</v>
      </c>
      <c r="BU41" s="203"/>
      <c r="BV41" s="207">
        <v>28.925936624428733</v>
      </c>
      <c r="BW41" s="203"/>
      <c r="BX41" s="207">
        <v>29.501836034687788</v>
      </c>
      <c r="BY41" s="203"/>
      <c r="BZ41" s="207">
        <v>32.353613514029824</v>
      </c>
      <c r="CA41" s="203"/>
      <c r="CB41" s="207">
        <v>31.676487560725601</v>
      </c>
      <c r="CC41" s="203" t="s">
        <v>213</v>
      </c>
      <c r="CD41" s="207">
        <v>21.06633741676783</v>
      </c>
      <c r="CE41" s="203"/>
      <c r="CF41" s="207">
        <v>23.854552450579579</v>
      </c>
      <c r="CG41" s="203"/>
      <c r="CH41" s="207">
        <v>28.321439703161118</v>
      </c>
      <c r="CI41" s="203"/>
      <c r="CJ41" s="221">
        <v>28.508352689041246</v>
      </c>
      <c r="CK41" s="217"/>
      <c r="CL41" s="221">
        <v>28.403785224623132</v>
      </c>
      <c r="CM41" s="217"/>
      <c r="CN41" s="221">
        <v>26.522006097003864</v>
      </c>
      <c r="CO41" s="217"/>
      <c r="CP41" s="221">
        <v>27.799713390086591</v>
      </c>
      <c r="CQ41" s="217"/>
      <c r="CR41" s="251">
        <v>29.246381302212491</v>
      </c>
      <c r="CS41" s="247"/>
      <c r="CT41" s="251">
        <v>28.2785322899561</v>
      </c>
      <c r="CU41" s="247"/>
      <c r="CV41" s="251">
        <v>27.248817378480965</v>
      </c>
      <c r="CW41" s="247"/>
      <c r="CX41" s="251">
        <v>28.263874836249773</v>
      </c>
      <c r="CY41" s="247"/>
      <c r="CZ41" s="236">
        <v>29.00636777654546</v>
      </c>
      <c r="DA41" s="232"/>
      <c r="DB41" s="236">
        <v>28.97375887890945</v>
      </c>
      <c r="DC41" s="232"/>
      <c r="DD41" s="236">
        <v>25.830145842678931</v>
      </c>
      <c r="DE41" s="232"/>
      <c r="DF41" s="236">
        <v>28.697362586805266</v>
      </c>
      <c r="DG41" s="232"/>
      <c r="DH41" s="236">
        <v>26.505738957914307</v>
      </c>
      <c r="DI41" s="232"/>
      <c r="DJ41" s="236">
        <v>25.300378143132118</v>
      </c>
      <c r="DK41" s="232"/>
      <c r="DL41" s="267">
        <v>26.2840575107139</v>
      </c>
      <c r="DM41" s="263"/>
      <c r="DN41" s="267">
        <v>28.182407142688529</v>
      </c>
      <c r="DO41" s="263"/>
      <c r="DP41" s="267">
        <v>24.956867008579326</v>
      </c>
      <c r="DQ41" s="263"/>
      <c r="DR41" s="267">
        <v>27.780296825882225</v>
      </c>
      <c r="DS41" s="263"/>
      <c r="DT41" s="267">
        <v>29.433726956388163</v>
      </c>
      <c r="DU41" s="263"/>
      <c r="DV41" s="267">
        <v>32.417229726393465</v>
      </c>
      <c r="DW41" s="263"/>
      <c r="DX41" s="193">
        <v>24.357337616255183</v>
      </c>
      <c r="DY41" s="189"/>
      <c r="DZ41" s="193">
        <v>21.83327839949418</v>
      </c>
      <c r="EA41" s="189"/>
      <c r="EB41" s="193">
        <v>28.353070657135721</v>
      </c>
      <c r="EC41" s="189"/>
      <c r="ED41" s="193">
        <v>31.618201149833961</v>
      </c>
      <c r="EE41" s="189"/>
      <c r="EF41" s="193">
        <v>30.924122512000103</v>
      </c>
      <c r="EG41" s="189"/>
      <c r="EH41" s="193">
        <v>31.506395434760844</v>
      </c>
      <c r="EI41" s="189"/>
    </row>
    <row r="42" spans="1:139" outlineLevel="1" x14ac:dyDescent="0.2">
      <c r="A42"/>
      <c r="B42" s="7"/>
      <c r="E42" s="187"/>
      <c r="G42" s="187"/>
      <c r="I42" s="201"/>
      <c r="K42" s="201"/>
      <c r="M42" s="201"/>
      <c r="O42" s="201"/>
      <c r="Q42" s="215"/>
      <c r="S42" s="215"/>
      <c r="U42" s="215"/>
      <c r="W42" s="215"/>
      <c r="Y42" s="245"/>
      <c r="AA42" s="245"/>
      <c r="AC42" s="245"/>
      <c r="AE42" s="245"/>
      <c r="AG42" s="245"/>
      <c r="AI42" s="245"/>
      <c r="AK42" s="230"/>
      <c r="AM42" s="230"/>
      <c r="AO42" s="230"/>
      <c r="AQ42" s="230"/>
      <c r="AS42" s="230"/>
      <c r="AU42" s="230"/>
      <c r="AW42" s="261"/>
      <c r="AY42" s="261"/>
      <c r="BA42" s="261"/>
      <c r="BC42" s="261"/>
      <c r="BE42" s="261"/>
      <c r="BG42" s="261"/>
      <c r="BI42" s="261"/>
      <c r="BK42" s="261"/>
      <c r="BM42" s="187"/>
      <c r="BO42" s="187"/>
      <c r="BQ42" s="187"/>
      <c r="BS42" s="187"/>
      <c r="BU42" s="201"/>
      <c r="BW42" s="201"/>
      <c r="BY42" s="201"/>
      <c r="CA42" s="201"/>
      <c r="CC42" s="201"/>
      <c r="CE42" s="201"/>
      <c r="CG42" s="201"/>
      <c r="CI42" s="201"/>
      <c r="CK42" s="215"/>
      <c r="CM42" s="215"/>
      <c r="CO42" s="215"/>
      <c r="CQ42" s="215"/>
      <c r="CS42" s="245"/>
      <c r="CU42" s="245"/>
      <c r="CW42" s="245"/>
      <c r="CY42" s="245"/>
      <c r="DA42" s="230"/>
      <c r="DC42" s="230"/>
      <c r="DE42" s="230"/>
      <c r="DG42" s="230"/>
      <c r="DI42" s="230"/>
      <c r="DK42" s="230"/>
      <c r="DM42" s="261"/>
      <c r="DO42" s="261"/>
      <c r="DQ42" s="261"/>
      <c r="DS42" s="261"/>
      <c r="DU42" s="261"/>
      <c r="DW42" s="261"/>
      <c r="DY42" s="187"/>
      <c r="EA42" s="187"/>
      <c r="EC42" s="187"/>
      <c r="EE42" s="187"/>
      <c r="EG42" s="187"/>
      <c r="EI42" s="187"/>
    </row>
    <row r="43" spans="1:139" outlineLevel="1" x14ac:dyDescent="0.2">
      <c r="A43"/>
      <c r="B43" s="13" t="s">
        <v>77</v>
      </c>
      <c r="C43" s="12">
        <v>30.815504912798303</v>
      </c>
      <c r="D43" s="193">
        <v>32.328817293831555</v>
      </c>
      <c r="E43" s="189"/>
      <c r="F43" s="193">
        <v>29.244712341198397</v>
      </c>
      <c r="G43" s="189"/>
      <c r="H43" s="207">
        <v>28.608393667787539</v>
      </c>
      <c r="I43" s="203"/>
      <c r="J43" s="207">
        <v>25.943657207497765</v>
      </c>
      <c r="K43" s="203"/>
      <c r="L43" s="207">
        <v>38.573367037037443</v>
      </c>
      <c r="M43" s="203"/>
      <c r="N43" s="207">
        <v>34.536408666181856</v>
      </c>
      <c r="O43" s="203"/>
      <c r="P43" s="221">
        <v>28.456169387508343</v>
      </c>
      <c r="Q43" s="217"/>
      <c r="R43" s="221">
        <v>25.314125826963839</v>
      </c>
      <c r="S43" s="217"/>
      <c r="T43" s="221">
        <v>40.541669598533872</v>
      </c>
      <c r="U43" s="217"/>
      <c r="V43" s="221">
        <v>37.705433992915623</v>
      </c>
      <c r="W43" s="217"/>
      <c r="X43" s="251">
        <v>33.820397724073899</v>
      </c>
      <c r="Y43" s="247"/>
      <c r="Z43" s="251">
        <v>37.380243074967261</v>
      </c>
      <c r="AA43" s="247"/>
      <c r="AB43" s="251">
        <v>40.81429110995704</v>
      </c>
      <c r="AC43" s="247"/>
      <c r="AD43" s="251">
        <v>23.118242029579481</v>
      </c>
      <c r="AE43" s="247"/>
      <c r="AF43" s="251">
        <v>26.428273514037929</v>
      </c>
      <c r="AG43" s="247"/>
      <c r="AH43" s="251">
        <v>33.86288133340927</v>
      </c>
      <c r="AI43" s="247"/>
      <c r="AJ43" s="236">
        <v>35.350136700583448</v>
      </c>
      <c r="AK43" s="232"/>
      <c r="AL43" s="236">
        <v>39.928851869681004</v>
      </c>
      <c r="AM43" s="232"/>
      <c r="AN43" s="236">
        <v>42.357066941177209</v>
      </c>
      <c r="AO43" s="232"/>
      <c r="AP43" s="236">
        <v>31.47274857367788</v>
      </c>
      <c r="AQ43" s="232"/>
      <c r="AR43" s="236">
        <v>25.51744655531472</v>
      </c>
      <c r="AS43" s="232"/>
      <c r="AT43" s="236">
        <v>35.005264609938386</v>
      </c>
      <c r="AU43" s="232"/>
      <c r="AV43" s="267">
        <v>34.189756237734862</v>
      </c>
      <c r="AW43" s="263"/>
      <c r="AX43" s="267">
        <v>32.247661289436245</v>
      </c>
      <c r="AY43" s="263"/>
      <c r="AZ43" s="267">
        <v>29.757178898914589</v>
      </c>
      <c r="BA43" s="263"/>
      <c r="BB43" s="267">
        <v>25.6504168780979</v>
      </c>
      <c r="BC43" s="263"/>
      <c r="BD43" s="267">
        <v>37.399592175415179</v>
      </c>
      <c r="BE43" s="263"/>
      <c r="BF43" s="267">
        <v>31.846901229178872</v>
      </c>
      <c r="BG43" s="263"/>
      <c r="BH43" s="267">
        <v>31.990922311065958</v>
      </c>
      <c r="BI43" s="263"/>
      <c r="BJ43" s="267">
        <v>31.592315535389023</v>
      </c>
      <c r="BK43" s="263"/>
      <c r="BL43" s="193">
        <v>30.353618025875878</v>
      </c>
      <c r="BM43" s="189"/>
      <c r="BN43" s="193">
        <v>27.023361969789274</v>
      </c>
      <c r="BO43" s="189"/>
      <c r="BP43" s="193">
        <v>34.24538122665399</v>
      </c>
      <c r="BQ43" s="189"/>
      <c r="BR43" s="193">
        <v>31.419880069498682</v>
      </c>
      <c r="BS43" s="189"/>
      <c r="BT43" s="207">
        <v>31.641699754142817</v>
      </c>
      <c r="BU43" s="203"/>
      <c r="BV43" s="207">
        <v>24.951536392462412</v>
      </c>
      <c r="BW43" s="203"/>
      <c r="BX43" s="207">
        <v>34.157659784448448</v>
      </c>
      <c r="BY43" s="203"/>
      <c r="BZ43" s="207">
        <v>30.01951125323048</v>
      </c>
      <c r="CA43" s="203"/>
      <c r="CB43" s="207">
        <v>32.487751431304794</v>
      </c>
      <c r="CC43" s="203"/>
      <c r="CD43" s="207">
        <v>29.725471802229332</v>
      </c>
      <c r="CE43" s="203"/>
      <c r="CF43" s="207">
        <v>29.822152900407914</v>
      </c>
      <c r="CG43" s="203"/>
      <c r="CH43" s="207">
        <v>31.229075687479678</v>
      </c>
      <c r="CI43" s="203"/>
      <c r="CJ43" s="221">
        <v>38.057998106305803</v>
      </c>
      <c r="CK43" s="217"/>
      <c r="CL43" s="221">
        <v>33.800275886935871</v>
      </c>
      <c r="CM43" s="217"/>
      <c r="CN43" s="221">
        <v>27.896848047455638</v>
      </c>
      <c r="CO43" s="217"/>
      <c r="CP43" s="221">
        <v>23.254006847772935</v>
      </c>
      <c r="CQ43" s="217"/>
      <c r="CR43" s="251">
        <v>37.957397663601</v>
      </c>
      <c r="CS43" s="247"/>
      <c r="CT43" s="251">
        <v>35.537349051018246</v>
      </c>
      <c r="CU43" s="247"/>
      <c r="CV43" s="251">
        <v>30.05036471725176</v>
      </c>
      <c r="CW43" s="247"/>
      <c r="CX43" s="251">
        <v>26.456939586246349</v>
      </c>
      <c r="CY43" s="247"/>
      <c r="CZ43" s="236">
        <v>31.401581372548744</v>
      </c>
      <c r="DA43" s="232"/>
      <c r="DB43" s="236">
        <v>29.561580771298438</v>
      </c>
      <c r="DC43" s="232"/>
      <c r="DD43" s="236">
        <v>33.512791625431895</v>
      </c>
      <c r="DE43" s="232"/>
      <c r="DF43" s="236">
        <v>24.608455324667531</v>
      </c>
      <c r="DG43" s="232"/>
      <c r="DH43" s="236">
        <v>28.138793648846573</v>
      </c>
      <c r="DI43" s="232"/>
      <c r="DJ43" s="236">
        <v>29.545615863918577</v>
      </c>
      <c r="DK43" s="232"/>
      <c r="DL43" s="267">
        <v>27.567823802060214</v>
      </c>
      <c r="DM43" s="263" t="s">
        <v>229</v>
      </c>
      <c r="DN43" s="267">
        <v>19.037211120058124</v>
      </c>
      <c r="DO43" s="263"/>
      <c r="DP43" s="267">
        <v>37.235160987727163</v>
      </c>
      <c r="DQ43" s="263"/>
      <c r="DR43" s="267">
        <v>37.147094053445215</v>
      </c>
      <c r="DS43" s="263"/>
      <c r="DT43" s="267">
        <v>32.955331962964458</v>
      </c>
      <c r="DU43" s="263"/>
      <c r="DV43" s="267">
        <v>26.35761419364778</v>
      </c>
      <c r="DW43" s="263"/>
      <c r="DX43" s="193">
        <v>32.346020244275948</v>
      </c>
      <c r="DY43" s="189"/>
      <c r="DZ43" s="193">
        <v>27.448771517156345</v>
      </c>
      <c r="EA43" s="189"/>
      <c r="EB43" s="193">
        <v>31.522263214845051</v>
      </c>
      <c r="EC43" s="189"/>
      <c r="ED43" s="193">
        <v>29.527322572135226</v>
      </c>
      <c r="EE43" s="189"/>
      <c r="EF43" s="193">
        <v>34.407913503658264</v>
      </c>
      <c r="EG43" s="189"/>
      <c r="EH43" s="193">
        <v>31.487230583669827</v>
      </c>
      <c r="EI43" s="189"/>
    </row>
    <row r="44" spans="1:139" outlineLevel="1" x14ac:dyDescent="0.2">
      <c r="A44"/>
      <c r="B44"/>
      <c r="E44" s="187"/>
      <c r="G44" s="187"/>
      <c r="I44" s="201"/>
      <c r="K44" s="201"/>
      <c r="M44" s="201"/>
      <c r="O44" s="201"/>
      <c r="Q44" s="215"/>
      <c r="S44" s="215"/>
      <c r="U44" s="215"/>
      <c r="W44" s="215"/>
      <c r="Y44" s="245"/>
      <c r="AA44" s="245"/>
      <c r="AC44" s="245"/>
      <c r="AE44" s="245"/>
      <c r="AG44" s="245"/>
      <c r="AI44" s="245"/>
      <c r="AK44" s="230"/>
      <c r="AM44" s="230"/>
      <c r="AO44" s="230"/>
      <c r="AQ44" s="230"/>
      <c r="AS44" s="230"/>
      <c r="AU44" s="230"/>
      <c r="AW44" s="261"/>
      <c r="AY44" s="261"/>
      <c r="BA44" s="261"/>
      <c r="BC44" s="261"/>
      <c r="BE44" s="261"/>
      <c r="BG44" s="261"/>
      <c r="BI44" s="261"/>
      <c r="BK44" s="261"/>
      <c r="BM44" s="187"/>
      <c r="BO44" s="187"/>
      <c r="BQ44" s="187"/>
      <c r="BS44" s="187"/>
      <c r="BU44" s="201"/>
      <c r="BW44" s="201"/>
      <c r="BY44" s="201"/>
      <c r="CA44" s="201"/>
      <c r="CC44" s="201"/>
      <c r="CE44" s="201"/>
      <c r="CG44" s="201"/>
      <c r="CI44" s="201"/>
      <c r="CK44" s="215"/>
      <c r="CM44" s="215"/>
      <c r="CO44" s="215"/>
      <c r="CQ44" s="215"/>
      <c r="CS44" s="245"/>
      <c r="CU44" s="245"/>
      <c r="CW44" s="245"/>
      <c r="CY44" s="245"/>
      <c r="DA44" s="230"/>
      <c r="DC44" s="230"/>
      <c r="DE44" s="230"/>
      <c r="DG44" s="230"/>
      <c r="DI44" s="230"/>
      <c r="DK44" s="230"/>
      <c r="DM44" s="261"/>
      <c r="DO44" s="261"/>
      <c r="DQ44" s="261"/>
      <c r="DS44" s="261"/>
      <c r="DU44" s="261"/>
      <c r="DW44" s="261"/>
      <c r="DY44" s="187"/>
      <c r="EA44" s="187"/>
      <c r="EC44" s="187"/>
      <c r="EE44" s="187"/>
      <c r="EG44" s="187"/>
      <c r="EI44" s="187"/>
    </row>
    <row r="45" spans="1:139" x14ac:dyDescent="0.2">
      <c r="A45"/>
      <c r="B45"/>
      <c r="E45" s="187"/>
      <c r="G45" s="187"/>
      <c r="I45" s="201"/>
      <c r="K45" s="201"/>
      <c r="M45" s="201"/>
      <c r="O45" s="201"/>
      <c r="Q45" s="215"/>
      <c r="S45" s="215"/>
      <c r="U45" s="215"/>
      <c r="W45" s="215"/>
      <c r="Y45" s="245"/>
      <c r="AA45" s="245"/>
      <c r="AC45" s="245"/>
      <c r="AE45" s="245"/>
      <c r="AG45" s="245"/>
      <c r="AI45" s="245"/>
      <c r="AK45" s="230"/>
      <c r="AM45" s="230"/>
      <c r="AO45" s="230"/>
      <c r="AQ45" s="230"/>
      <c r="AS45" s="230"/>
      <c r="AU45" s="230"/>
      <c r="AW45" s="261"/>
      <c r="AY45" s="261"/>
      <c r="BA45" s="261"/>
      <c r="BC45" s="261"/>
      <c r="BE45" s="261"/>
      <c r="BG45" s="261"/>
      <c r="BI45" s="261"/>
      <c r="BK45" s="261"/>
      <c r="BM45" s="187"/>
      <c r="BO45" s="187"/>
      <c r="BQ45" s="187"/>
      <c r="BS45" s="187"/>
      <c r="BU45" s="201"/>
      <c r="BW45" s="201"/>
      <c r="BY45" s="201"/>
      <c r="CA45" s="201"/>
      <c r="CC45" s="201"/>
      <c r="CE45" s="201"/>
      <c r="CG45" s="201"/>
      <c r="CI45" s="201"/>
      <c r="CK45" s="215"/>
      <c r="CM45" s="215"/>
      <c r="CO45" s="215"/>
      <c r="CQ45" s="215"/>
      <c r="CS45" s="245"/>
      <c r="CU45" s="245"/>
      <c r="CW45" s="245"/>
      <c r="CY45" s="245"/>
      <c r="DA45" s="230"/>
      <c r="DC45" s="230"/>
      <c r="DE45" s="230"/>
      <c r="DG45" s="230"/>
      <c r="DI45" s="230"/>
      <c r="DK45" s="230"/>
      <c r="DM45" s="261"/>
      <c r="DO45" s="261"/>
      <c r="DQ45" s="261"/>
      <c r="DS45" s="261"/>
      <c r="DU45" s="261"/>
      <c r="DW45" s="261"/>
      <c r="DY45" s="187"/>
      <c r="EA45" s="187"/>
      <c r="EC45" s="187"/>
      <c r="EE45" s="187"/>
      <c r="EG45" s="187"/>
      <c r="EI45" s="187"/>
    </row>
    <row r="46" spans="1:139" x14ac:dyDescent="0.2">
      <c r="A46" s="6" t="s">
        <v>78</v>
      </c>
      <c r="B46" s="7" t="s">
        <v>79</v>
      </c>
      <c r="E46" s="187"/>
      <c r="G46" s="187"/>
      <c r="I46" s="201"/>
      <c r="K46" s="201"/>
      <c r="M46" s="201"/>
      <c r="O46" s="201"/>
      <c r="Q46" s="215"/>
      <c r="S46" s="215"/>
      <c r="U46" s="215"/>
      <c r="W46" s="215"/>
      <c r="Y46" s="245"/>
      <c r="AA46" s="245"/>
      <c r="AC46" s="245"/>
      <c r="AE46" s="245"/>
      <c r="AG46" s="245"/>
      <c r="AI46" s="245"/>
      <c r="AK46" s="230"/>
      <c r="AM46" s="230"/>
      <c r="AO46" s="230"/>
      <c r="AQ46" s="230"/>
      <c r="AS46" s="230"/>
      <c r="AU46" s="230"/>
      <c r="AW46" s="261"/>
      <c r="AY46" s="261"/>
      <c r="BA46" s="261"/>
      <c r="BC46" s="261"/>
      <c r="BE46" s="261"/>
      <c r="BG46" s="261"/>
      <c r="BI46" s="261"/>
      <c r="BK46" s="261"/>
      <c r="BM46" s="187"/>
      <c r="BO46" s="187"/>
      <c r="BQ46" s="187"/>
      <c r="BS46" s="187"/>
      <c r="BU46" s="201"/>
      <c r="BW46" s="201"/>
      <c r="BY46" s="201"/>
      <c r="CA46" s="201"/>
      <c r="CC46" s="201"/>
      <c r="CE46" s="201"/>
      <c r="CG46" s="201"/>
      <c r="CI46" s="201"/>
      <c r="CK46" s="215"/>
      <c r="CM46" s="215"/>
      <c r="CO46" s="215"/>
      <c r="CQ46" s="215"/>
      <c r="CS46" s="245"/>
      <c r="CU46" s="245"/>
      <c r="CW46" s="245"/>
      <c r="CY46" s="245"/>
      <c r="DA46" s="230"/>
      <c r="DC46" s="230"/>
      <c r="DE46" s="230"/>
      <c r="DG46" s="230"/>
      <c r="DI46" s="230"/>
      <c r="DK46" s="230"/>
      <c r="DM46" s="261"/>
      <c r="DO46" s="261"/>
      <c r="DQ46" s="261"/>
      <c r="DS46" s="261"/>
      <c r="DU46" s="261"/>
      <c r="DW46" s="261"/>
      <c r="DY46" s="187"/>
      <c r="EA46" s="187"/>
      <c r="EC46" s="187"/>
      <c r="EE46" s="187"/>
      <c r="EG46" s="187"/>
      <c r="EI46" s="187"/>
    </row>
    <row r="47" spans="1:139" outlineLevel="1" x14ac:dyDescent="0.2">
      <c r="A47"/>
      <c r="B47" s="9" t="s">
        <v>80</v>
      </c>
      <c r="C47" s="8">
        <f>1300.5013769208+61.4986230791983</f>
        <v>1361.9999999999984</v>
      </c>
      <c r="D47" s="188">
        <f>655.461900609423+25.5380993905769</f>
        <v>680.99999999999989</v>
      </c>
      <c r="E47" s="189"/>
      <c r="F47" s="188">
        <f>645.212196632397+35.7878033676029</f>
        <v>680.99999999999989</v>
      </c>
      <c r="G47" s="189"/>
      <c r="H47" s="202">
        <f>438.568729266482+17.4312707335179</f>
        <v>455.99999999999994</v>
      </c>
      <c r="I47" s="203"/>
      <c r="J47" s="202">
        <f>421.814205423493+21.185794576507</f>
        <v>443</v>
      </c>
      <c r="K47" s="203"/>
      <c r="L47" s="202">
        <f>217.073814034468+7.92618596553226</f>
        <v>225.00000000000026</v>
      </c>
      <c r="M47" s="203"/>
      <c r="N47" s="202">
        <f>223.626985530804+14.3730144691961</f>
        <v>238.00000000000011</v>
      </c>
      <c r="O47" s="203"/>
      <c r="P47" s="216">
        <f>476.376746603417+18.6232533965826</f>
        <v>494.9999999999996</v>
      </c>
      <c r="Q47" s="217"/>
      <c r="R47" s="216">
        <f>465.199131795078+25.8008682049217</f>
        <v>490.99999999999972</v>
      </c>
      <c r="S47" s="217"/>
      <c r="T47" s="216">
        <f>179.301013723654+6.69898627634606</f>
        <v>186.00000000000006</v>
      </c>
      <c r="U47" s="217"/>
      <c r="V47" s="216">
        <f>180.013309361835+9.98669063816507</f>
        <v>190.00000000000009</v>
      </c>
      <c r="W47" s="217"/>
      <c r="X47" s="246">
        <f>71.6121089687726+3.38789103122735</f>
        <v>74.999999999999957</v>
      </c>
      <c r="Y47" s="247"/>
      <c r="Z47" s="246">
        <f>63.644002965237+2.355997034763</f>
        <v>66</v>
      </c>
      <c r="AA47" s="247"/>
      <c r="AB47" s="246">
        <f>55.8948134449942+1.10518655500583</f>
        <v>57.000000000000028</v>
      </c>
      <c r="AC47" s="247"/>
      <c r="AD47" s="246">
        <f>68.4642927090685+5.5357072909315</f>
        <v>74</v>
      </c>
      <c r="AE47" s="247"/>
      <c r="AF47" s="246">
        <f>59.3906014239344+4.60939857606556</f>
        <v>63.999999999999957</v>
      </c>
      <c r="AG47" s="247"/>
      <c r="AH47" s="246">
        <f>69.7374505106379+2.26254948936207</f>
        <v>71.999999999999972</v>
      </c>
      <c r="AI47" s="247"/>
      <c r="AJ47" s="231">
        <f>52.3283609729017+2.67163902709834</f>
        <v>55.000000000000036</v>
      </c>
      <c r="AK47" s="232"/>
      <c r="AL47" s="231">
        <f>52.9333483796325+2.06665162036747</f>
        <v>54.999999999999972</v>
      </c>
      <c r="AM47" s="232"/>
      <c r="AN47" s="231">
        <f>51.0179630264801+0.982036973519932</f>
        <v>52.000000000000036</v>
      </c>
      <c r="AO47" s="232"/>
      <c r="AP47" s="231">
        <f>43.1594690169015+1.84053098309851</f>
        <v>45.000000000000007</v>
      </c>
      <c r="AQ47" s="232"/>
      <c r="AR47" s="231">
        <f>52.6212803729716+4.3787196270284</f>
        <v>57</v>
      </c>
      <c r="AS47" s="232"/>
      <c r="AT47" s="231">
        <f>62.8125240619027+2.18747593809733</f>
        <v>65.000000000000028</v>
      </c>
      <c r="AU47" s="232"/>
      <c r="AV47" s="262">
        <f>130.950805888471+5.04919411152909</f>
        <v>136.00000000000009</v>
      </c>
      <c r="AW47" s="263"/>
      <c r="AX47" s="262">
        <f>149.543829253967+5.45617074603328</f>
        <v>155.00000000000028</v>
      </c>
      <c r="AY47" s="263"/>
      <c r="AZ47" s="262">
        <f>275.12858975141+9.87141024859045</f>
        <v>285.00000000000045</v>
      </c>
      <c r="BA47" s="263"/>
      <c r="BB47" s="262">
        <f>260.29607408833+15.7039259116703</f>
        <v>276.00000000000028</v>
      </c>
      <c r="BC47" s="263"/>
      <c r="BD47" s="262">
        <f>98.8183026593246+3.18169734067536</f>
        <v>101.99999999999996</v>
      </c>
      <c r="BE47" s="263"/>
      <c r="BF47" s="262">
        <f>106.294337580329+3.70566241967147</f>
        <v>110.00000000000047</v>
      </c>
      <c r="BG47" s="263"/>
      <c r="BH47" s="262">
        <f>155.55524019237+2.44475980762957</f>
        <v>157.99999999999957</v>
      </c>
      <c r="BI47" s="263"/>
      <c r="BJ47" s="262">
        <f>135.622264277787+4.37773572221298</f>
        <v>139.99999999999997</v>
      </c>
      <c r="BK47" s="263"/>
      <c r="BL47" s="188">
        <f>324.179036590347+15.8209634096532</f>
        <v>340.00000000000017</v>
      </c>
      <c r="BM47" s="189"/>
      <c r="BN47" s="188">
        <f>330.170880764127+14.829119235873</f>
        <v>345</v>
      </c>
      <c r="BO47" s="189"/>
      <c r="BP47" s="188">
        <f>331.697344698008+9.30265530199159</f>
        <v>340.9999999999996</v>
      </c>
      <c r="BQ47" s="189"/>
      <c r="BR47" s="188">
        <f>315.046669720894+20.9533302791059</f>
        <v>335.99999999999989</v>
      </c>
      <c r="BS47" s="189"/>
      <c r="BT47" s="202">
        <f>134.759003288939+4.24099671106086</f>
        <v>138.99999999999986</v>
      </c>
      <c r="BU47" s="203"/>
      <c r="BV47" s="202">
        <f>135.393542572708+3.60645742729156</f>
        <v>138.99999999999955</v>
      </c>
      <c r="BW47" s="203"/>
      <c r="BX47" s="202">
        <f>236.04074639273+7.95925360727031</f>
        <v>244.00000000000031</v>
      </c>
      <c r="BY47" s="203"/>
      <c r="BZ47" s="202">
        <f>271.590140854965+5.40985914503489</f>
        <v>276.99999999999989</v>
      </c>
      <c r="CA47" s="203"/>
      <c r="CB47" s="202">
        <f>147.380338555936+3.61966144406426</f>
        <v>151.00000000000026</v>
      </c>
      <c r="CC47" s="203"/>
      <c r="CD47" s="202">
        <f>135.263037655182+5.73696234481778</f>
        <v>140.99999999999977</v>
      </c>
      <c r="CE47" s="203"/>
      <c r="CF47" s="202">
        <f>138.815337863401+8.18466213659931</f>
        <v>147.00000000000031</v>
      </c>
      <c r="CG47" s="203"/>
      <c r="CH47" s="202">
        <f>115.105500966038+8.89449903396205</f>
        <v>124.00000000000004</v>
      </c>
      <c r="CI47" s="203"/>
      <c r="CJ47" s="216">
        <f>267.920614371533+10.079385628467</f>
        <v>278</v>
      </c>
      <c r="CK47" s="217"/>
      <c r="CL47" s="216">
        <f>303.911489632735+17.0885103672646</f>
        <v>320.9999999999996</v>
      </c>
      <c r="CM47" s="217"/>
      <c r="CN47" s="216">
        <f>362.607071676586+14.3929283234141</f>
        <v>377.00000000000006</v>
      </c>
      <c r="CO47" s="217"/>
      <c r="CP47" s="216">
        <f>321.536943865359+17.4630561346412</f>
        <v>339.00000000000017</v>
      </c>
      <c r="CQ47" s="217"/>
      <c r="CR47" s="246">
        <f>172.640657878514+6.35934212148604</f>
        <v>179.00000000000003</v>
      </c>
      <c r="CS47" s="247"/>
      <c r="CT47" s="246">
        <f>184.208985243509+7.79101475649134</f>
        <v>192.00000000000034</v>
      </c>
      <c r="CU47" s="247"/>
      <c r="CV47" s="246">
        <f>481.087973193156+18.9120268068438</f>
        <v>499.99999999999983</v>
      </c>
      <c r="CW47" s="247"/>
      <c r="CX47" s="246">
        <f>458.506287124715+27.4937128752849</f>
        <v>485.99999999999989</v>
      </c>
      <c r="CY47" s="247"/>
      <c r="CZ47" s="231">
        <f>474.928936512563+16.0710634874373</f>
        <v>491.00000000000028</v>
      </c>
      <c r="DA47" s="232"/>
      <c r="DB47" s="231">
        <f>465.455858429266+22.5441415707342</f>
        <v>488.00000000000023</v>
      </c>
      <c r="DC47" s="232"/>
      <c r="DD47" s="231">
        <f>96.7240124026688+5.27598759733122</f>
        <v>102.00000000000003</v>
      </c>
      <c r="DE47" s="232"/>
      <c r="DF47" s="231">
        <f>112.846540911671+7.1534590883293</f>
        <v>120.0000000000003</v>
      </c>
      <c r="DG47" s="232"/>
      <c r="DH47" s="231">
        <f>98.6378652661783+9.36213473382175</f>
        <v>108.00000000000004</v>
      </c>
      <c r="DI47" s="232"/>
      <c r="DJ47" s="231">
        <f>89.8227701728728+5.17722982712722</f>
        <v>95.000000000000014</v>
      </c>
      <c r="DK47" s="232"/>
      <c r="DL47" s="262">
        <f>301.300949458134+11.6990505418663</f>
        <v>313.00000000000034</v>
      </c>
      <c r="DM47" s="263"/>
      <c r="DN47" s="262">
        <f>287.686699685324+17.3133003146765</f>
        <v>305.00000000000051</v>
      </c>
      <c r="DO47" s="263"/>
      <c r="DP47" s="262">
        <f>149.715858698093+5.28414130190725</f>
        <v>155.00000000000026</v>
      </c>
      <c r="DQ47" s="263"/>
      <c r="DR47" s="262">
        <f>163.734902899515+6.26509710048452</f>
        <v>169.99999999999952</v>
      </c>
      <c r="DS47" s="263"/>
      <c r="DT47" s="262">
        <f>150.368045182677+6.63195481732325</f>
        <v>157.00000000000026</v>
      </c>
      <c r="DU47" s="263"/>
      <c r="DV47" s="262">
        <f>145.004273611666+8.99572638833388</f>
        <v>153.99999999999989</v>
      </c>
      <c r="DW47" s="263"/>
      <c r="DX47" s="188">
        <f>174.831789277243+9.16821072275681</f>
        <v>183.9999999999998</v>
      </c>
      <c r="DY47" s="189"/>
      <c r="DZ47" s="188">
        <f>222.068994174868+11.9310058251322</f>
        <v>234.0000000000002</v>
      </c>
      <c r="EA47" s="189"/>
      <c r="EB47" s="188">
        <f>354.550242225806+12.449757774194</f>
        <v>367</v>
      </c>
      <c r="EC47" s="189"/>
      <c r="ED47" s="188">
        <f>281.963458634913+16.0365413650867</f>
        <v>297.99999999999972</v>
      </c>
      <c r="EE47" s="189"/>
      <c r="EF47" s="188">
        <f>126.262373998349+3.73762600165051</f>
        <v>129.99999999999952</v>
      </c>
      <c r="EG47" s="189"/>
      <c r="EH47" s="188">
        <f>141.437080874918+7.56291912508243</f>
        <v>149.00000000000043</v>
      </c>
      <c r="EI47" s="189"/>
    </row>
    <row r="48" spans="1:139" s="18" customFormat="1" outlineLevel="1" x14ac:dyDescent="0.2">
      <c r="A48"/>
      <c r="B48" s="16"/>
      <c r="C48" s="17" t="s">
        <v>167</v>
      </c>
      <c r="D48" s="190" t="s">
        <v>167</v>
      </c>
      <c r="E48" s="191"/>
      <c r="F48" s="190" t="s">
        <v>167</v>
      </c>
      <c r="G48" s="191"/>
      <c r="H48" s="204" t="s">
        <v>167</v>
      </c>
      <c r="I48" s="205"/>
      <c r="J48" s="204" t="s">
        <v>167</v>
      </c>
      <c r="K48" s="205"/>
      <c r="L48" s="204" t="s">
        <v>167</v>
      </c>
      <c r="M48" s="205"/>
      <c r="N48" s="204" t="s">
        <v>167</v>
      </c>
      <c r="O48" s="205"/>
      <c r="P48" s="218" t="s">
        <v>167</v>
      </c>
      <c r="Q48" s="219"/>
      <c r="R48" s="218" t="s">
        <v>167</v>
      </c>
      <c r="S48" s="219"/>
      <c r="T48" s="218" t="s">
        <v>167</v>
      </c>
      <c r="U48" s="219"/>
      <c r="V48" s="218" t="s">
        <v>167</v>
      </c>
      <c r="W48" s="219"/>
      <c r="X48" s="248" t="s">
        <v>167</v>
      </c>
      <c r="Y48" s="249"/>
      <c r="Z48" s="248" t="s">
        <v>167</v>
      </c>
      <c r="AA48" s="249"/>
      <c r="AB48" s="248" t="s">
        <v>167</v>
      </c>
      <c r="AC48" s="249"/>
      <c r="AD48" s="248" t="s">
        <v>167</v>
      </c>
      <c r="AE48" s="249"/>
      <c r="AF48" s="248" t="s">
        <v>167</v>
      </c>
      <c r="AG48" s="249"/>
      <c r="AH48" s="248" t="s">
        <v>167</v>
      </c>
      <c r="AI48" s="249"/>
      <c r="AJ48" s="233" t="s">
        <v>167</v>
      </c>
      <c r="AK48" s="234"/>
      <c r="AL48" s="233" t="s">
        <v>167</v>
      </c>
      <c r="AM48" s="234"/>
      <c r="AN48" s="233" t="s">
        <v>167</v>
      </c>
      <c r="AO48" s="234"/>
      <c r="AP48" s="233" t="s">
        <v>167</v>
      </c>
      <c r="AQ48" s="234"/>
      <c r="AR48" s="233" t="s">
        <v>167</v>
      </c>
      <c r="AS48" s="234"/>
      <c r="AT48" s="233" t="s">
        <v>167</v>
      </c>
      <c r="AU48" s="234"/>
      <c r="AV48" s="264" t="s">
        <v>167</v>
      </c>
      <c r="AW48" s="265"/>
      <c r="AX48" s="264" t="s">
        <v>167</v>
      </c>
      <c r="AY48" s="265"/>
      <c r="AZ48" s="264" t="s">
        <v>167</v>
      </c>
      <c r="BA48" s="265"/>
      <c r="BB48" s="264" t="s">
        <v>167</v>
      </c>
      <c r="BC48" s="265"/>
      <c r="BD48" s="264" t="s">
        <v>167</v>
      </c>
      <c r="BE48" s="265"/>
      <c r="BF48" s="264" t="s">
        <v>167</v>
      </c>
      <c r="BG48" s="265"/>
      <c r="BH48" s="264" t="s">
        <v>167</v>
      </c>
      <c r="BI48" s="265"/>
      <c r="BJ48" s="264" t="s">
        <v>167</v>
      </c>
      <c r="BK48" s="265"/>
      <c r="BL48" s="190" t="s">
        <v>167</v>
      </c>
      <c r="BM48" s="191"/>
      <c r="BN48" s="190" t="s">
        <v>167</v>
      </c>
      <c r="BO48" s="191"/>
      <c r="BP48" s="190" t="s">
        <v>167</v>
      </c>
      <c r="BQ48" s="191"/>
      <c r="BR48" s="190" t="s">
        <v>167</v>
      </c>
      <c r="BS48" s="191"/>
      <c r="BT48" s="204" t="s">
        <v>167</v>
      </c>
      <c r="BU48" s="205"/>
      <c r="BV48" s="204" t="s">
        <v>167</v>
      </c>
      <c r="BW48" s="205"/>
      <c r="BX48" s="204" t="s">
        <v>167</v>
      </c>
      <c r="BY48" s="205"/>
      <c r="BZ48" s="204" t="s">
        <v>167</v>
      </c>
      <c r="CA48" s="205"/>
      <c r="CB48" s="204" t="s">
        <v>167</v>
      </c>
      <c r="CC48" s="205"/>
      <c r="CD48" s="204" t="s">
        <v>167</v>
      </c>
      <c r="CE48" s="205"/>
      <c r="CF48" s="204" t="s">
        <v>167</v>
      </c>
      <c r="CG48" s="205"/>
      <c r="CH48" s="204" t="s">
        <v>167</v>
      </c>
      <c r="CI48" s="205"/>
      <c r="CJ48" s="218" t="s">
        <v>167</v>
      </c>
      <c r="CK48" s="219"/>
      <c r="CL48" s="218" t="s">
        <v>167</v>
      </c>
      <c r="CM48" s="219"/>
      <c r="CN48" s="218" t="s">
        <v>167</v>
      </c>
      <c r="CO48" s="219"/>
      <c r="CP48" s="218" t="s">
        <v>167</v>
      </c>
      <c r="CQ48" s="219"/>
      <c r="CR48" s="248" t="s">
        <v>167</v>
      </c>
      <c r="CS48" s="249"/>
      <c r="CT48" s="248" t="s">
        <v>167</v>
      </c>
      <c r="CU48" s="249"/>
      <c r="CV48" s="248" t="s">
        <v>167</v>
      </c>
      <c r="CW48" s="249"/>
      <c r="CX48" s="248" t="s">
        <v>167</v>
      </c>
      <c r="CY48" s="249"/>
      <c r="CZ48" s="233" t="s">
        <v>167</v>
      </c>
      <c r="DA48" s="234"/>
      <c r="DB48" s="233" t="s">
        <v>167</v>
      </c>
      <c r="DC48" s="234"/>
      <c r="DD48" s="233" t="s">
        <v>167</v>
      </c>
      <c r="DE48" s="234"/>
      <c r="DF48" s="233" t="s">
        <v>167</v>
      </c>
      <c r="DG48" s="234"/>
      <c r="DH48" s="233" t="s">
        <v>167</v>
      </c>
      <c r="DI48" s="234"/>
      <c r="DJ48" s="233" t="s">
        <v>167</v>
      </c>
      <c r="DK48" s="234"/>
      <c r="DL48" s="264" t="s">
        <v>167</v>
      </c>
      <c r="DM48" s="265"/>
      <c r="DN48" s="264" t="s">
        <v>167</v>
      </c>
      <c r="DO48" s="265"/>
      <c r="DP48" s="264" t="s">
        <v>167</v>
      </c>
      <c r="DQ48" s="265"/>
      <c r="DR48" s="264" t="s">
        <v>167</v>
      </c>
      <c r="DS48" s="265"/>
      <c r="DT48" s="264" t="s">
        <v>167</v>
      </c>
      <c r="DU48" s="265"/>
      <c r="DV48" s="264" t="s">
        <v>167</v>
      </c>
      <c r="DW48" s="265"/>
      <c r="DX48" s="190" t="s">
        <v>167</v>
      </c>
      <c r="DY48" s="191"/>
      <c r="DZ48" s="190" t="s">
        <v>167</v>
      </c>
      <c r="EA48" s="191"/>
      <c r="EB48" s="190" t="s">
        <v>167</v>
      </c>
      <c r="EC48" s="191"/>
      <c r="ED48" s="190" t="s">
        <v>167</v>
      </c>
      <c r="EE48" s="191"/>
      <c r="EF48" s="190" t="s">
        <v>167</v>
      </c>
      <c r="EG48" s="191"/>
      <c r="EH48" s="190" t="s">
        <v>167</v>
      </c>
      <c r="EI48" s="191"/>
    </row>
    <row r="49" spans="1:139" outlineLevel="1" x14ac:dyDescent="0.2">
      <c r="A49"/>
      <c r="B49"/>
      <c r="E49" s="187"/>
      <c r="G49" s="187"/>
      <c r="I49" s="201"/>
      <c r="K49" s="201"/>
      <c r="M49" s="201"/>
      <c r="O49" s="201"/>
      <c r="Q49" s="215"/>
      <c r="S49" s="215"/>
      <c r="U49" s="215"/>
      <c r="W49" s="215"/>
      <c r="Y49" s="245"/>
      <c r="AA49" s="245"/>
      <c r="AC49" s="245"/>
      <c r="AE49" s="245"/>
      <c r="AG49" s="245"/>
      <c r="AI49" s="245"/>
      <c r="AK49" s="230"/>
      <c r="AM49" s="230"/>
      <c r="AO49" s="230"/>
      <c r="AQ49" s="230"/>
      <c r="AS49" s="230"/>
      <c r="AU49" s="230"/>
      <c r="AW49" s="261"/>
      <c r="AY49" s="261"/>
      <c r="BA49" s="261"/>
      <c r="BC49" s="261"/>
      <c r="BE49" s="261"/>
      <c r="BG49" s="261"/>
      <c r="BI49" s="261"/>
      <c r="BK49" s="261"/>
      <c r="BM49" s="187"/>
      <c r="BO49" s="187"/>
      <c r="BQ49" s="187"/>
      <c r="BS49" s="187"/>
      <c r="BU49" s="201"/>
      <c r="BW49" s="201"/>
      <c r="BY49" s="201"/>
      <c r="CA49" s="201"/>
      <c r="CC49" s="201"/>
      <c r="CE49" s="201"/>
      <c r="CG49" s="201"/>
      <c r="CI49" s="201"/>
      <c r="CK49" s="215"/>
      <c r="CM49" s="215"/>
      <c r="CO49" s="215"/>
      <c r="CQ49" s="215"/>
      <c r="CS49" s="245"/>
      <c r="CU49" s="245"/>
      <c r="CW49" s="245"/>
      <c r="CY49" s="245"/>
      <c r="DA49" s="230"/>
      <c r="DC49" s="230"/>
      <c r="DE49" s="230"/>
      <c r="DG49" s="230"/>
      <c r="DI49" s="230"/>
      <c r="DK49" s="230"/>
      <c r="DM49" s="261"/>
      <c r="DO49" s="261"/>
      <c r="DQ49" s="261"/>
      <c r="DS49" s="261"/>
      <c r="DU49" s="261"/>
      <c r="DW49" s="261"/>
      <c r="DY49" s="187"/>
      <c r="EA49" s="187"/>
      <c r="EC49" s="187"/>
      <c r="EE49" s="187"/>
      <c r="EG49" s="187"/>
      <c r="EI49" s="187"/>
    </row>
    <row r="50" spans="1:139" outlineLevel="1" x14ac:dyDescent="0.2">
      <c r="A50"/>
      <c r="B50" s="7" t="s">
        <v>81</v>
      </c>
      <c r="C50" s="10">
        <v>61.065714975306484</v>
      </c>
      <c r="D50" s="192">
        <v>58.929287556492625</v>
      </c>
      <c r="E50" s="189"/>
      <c r="F50" s="192">
        <v>63.18662996971787</v>
      </c>
      <c r="G50" s="189"/>
      <c r="H50" s="206">
        <v>59.742144932800578</v>
      </c>
      <c r="I50" s="203"/>
      <c r="J50" s="206">
        <v>66.105257902063371</v>
      </c>
      <c r="K50" s="203"/>
      <c r="L50" s="206">
        <v>57.343614925669257</v>
      </c>
      <c r="M50" s="203"/>
      <c r="N50" s="206">
        <v>57.893856533108426</v>
      </c>
      <c r="O50" s="203"/>
      <c r="P50" s="220">
        <v>60.40392620381315</v>
      </c>
      <c r="Q50" s="217"/>
      <c r="R50" s="220">
        <v>68.343124500354847</v>
      </c>
      <c r="S50" s="217" t="s">
        <v>183</v>
      </c>
      <c r="T50" s="220">
        <v>55.166314658228416</v>
      </c>
      <c r="U50" s="217"/>
      <c r="V50" s="220">
        <v>49.879239102309313</v>
      </c>
      <c r="W50" s="217"/>
      <c r="X50" s="250">
        <v>67.19216917985149</v>
      </c>
      <c r="Y50" s="247"/>
      <c r="Z50" s="250">
        <v>54.581310308559694</v>
      </c>
      <c r="AA50" s="247"/>
      <c r="AB50" s="250">
        <v>45.427880093197324</v>
      </c>
      <c r="AC50" s="247"/>
      <c r="AD50" s="250">
        <v>76.92047479775816</v>
      </c>
      <c r="AE50" s="247"/>
      <c r="AF50" s="250">
        <v>50.729810626658924</v>
      </c>
      <c r="AG50" s="247"/>
      <c r="AH50" s="250">
        <v>41.466113456021333</v>
      </c>
      <c r="AI50" s="247"/>
      <c r="AJ50" s="235">
        <v>64.50459680539737</v>
      </c>
      <c r="AK50" s="232"/>
      <c r="AL50" s="235">
        <v>53.296058991975357</v>
      </c>
      <c r="AM50" s="232"/>
      <c r="AN50" s="235">
        <v>44.659937441022684</v>
      </c>
      <c r="AO50" s="232"/>
      <c r="AP50" s="235">
        <v>63.787263026450219</v>
      </c>
      <c r="AQ50" s="232"/>
      <c r="AR50" s="235">
        <v>49.82164008126918</v>
      </c>
      <c r="AS50" s="232"/>
      <c r="AT50" s="235">
        <v>35.159330246992091</v>
      </c>
      <c r="AU50" s="232"/>
      <c r="AV50" s="266">
        <v>63.66032397691594</v>
      </c>
      <c r="AW50" s="263"/>
      <c r="AX50" s="266">
        <v>63.142463794078687</v>
      </c>
      <c r="AY50" s="263"/>
      <c r="AZ50" s="266">
        <v>65.389413328068571</v>
      </c>
      <c r="BA50" s="263"/>
      <c r="BB50" s="266">
        <v>70.327536196213728</v>
      </c>
      <c r="BC50" s="263"/>
      <c r="BD50" s="266">
        <v>57.148860029105641</v>
      </c>
      <c r="BE50" s="263"/>
      <c r="BF50" s="266">
        <v>68.117441709501989</v>
      </c>
      <c r="BG50" s="263"/>
      <c r="BH50" s="266">
        <v>41.117288169620778</v>
      </c>
      <c r="BI50" s="263"/>
      <c r="BJ50" s="266">
        <v>41.912300000320705</v>
      </c>
      <c r="BK50" s="263"/>
      <c r="BL50" s="192">
        <v>55.973103842832728</v>
      </c>
      <c r="BM50" s="189"/>
      <c r="BN50" s="192">
        <v>63.135666589094569</v>
      </c>
      <c r="BO50" s="189"/>
      <c r="BP50" s="192">
        <v>61.967485820925504</v>
      </c>
      <c r="BQ50" s="189"/>
      <c r="BR50" s="192">
        <v>63.239733027217852</v>
      </c>
      <c r="BS50" s="189"/>
      <c r="BT50" s="206">
        <v>63.680173526798029</v>
      </c>
      <c r="BU50" s="203"/>
      <c r="BV50" s="206">
        <v>63.805815609272081</v>
      </c>
      <c r="BW50" s="203"/>
      <c r="BX50" s="206">
        <v>59.439911947454966</v>
      </c>
      <c r="BY50" s="203"/>
      <c r="BZ50" s="206">
        <v>63.627279508918853</v>
      </c>
      <c r="CA50" s="203"/>
      <c r="CB50" s="206">
        <v>51.672669275569717</v>
      </c>
      <c r="CC50" s="203"/>
      <c r="CD50" s="206">
        <v>64.515599214248226</v>
      </c>
      <c r="CE50" s="203" t="s">
        <v>212</v>
      </c>
      <c r="CF50" s="206">
        <v>61.19772509645756</v>
      </c>
      <c r="CG50" s="203"/>
      <c r="CH50" s="206">
        <v>60.443534110407249</v>
      </c>
      <c r="CI50" s="203"/>
      <c r="CJ50" s="220">
        <v>60.370957423062819</v>
      </c>
      <c r="CK50" s="217"/>
      <c r="CL50" s="220">
        <v>59.286194433816341</v>
      </c>
      <c r="CM50" s="217"/>
      <c r="CN50" s="220">
        <v>57.414295318272501</v>
      </c>
      <c r="CO50" s="217"/>
      <c r="CP50" s="220">
        <v>67.399704268935423</v>
      </c>
      <c r="CQ50" s="217" t="s">
        <v>217</v>
      </c>
      <c r="CR50" s="250">
        <v>57.141583679290939</v>
      </c>
      <c r="CS50" s="247"/>
      <c r="CT50" s="250">
        <v>62.401079628563579</v>
      </c>
      <c r="CU50" s="247"/>
      <c r="CV50" s="250">
        <v>59.596441544367927</v>
      </c>
      <c r="CW50" s="247"/>
      <c r="CX50" s="250">
        <v>63.413938814037081</v>
      </c>
      <c r="CY50" s="247"/>
      <c r="CZ50" s="235">
        <v>53.957339653507908</v>
      </c>
      <c r="DA50" s="232"/>
      <c r="DB50" s="235">
        <v>60.5909749236219</v>
      </c>
      <c r="DC50" s="232" t="s">
        <v>222</v>
      </c>
      <c r="DD50" s="235">
        <v>70.956311424665969</v>
      </c>
      <c r="DE50" s="232"/>
      <c r="DF50" s="235">
        <v>65.220978936867212</v>
      </c>
      <c r="DG50" s="232"/>
      <c r="DH50" s="235">
        <v>68.683935631945047</v>
      </c>
      <c r="DI50" s="232"/>
      <c r="DJ50" s="235">
        <v>68.782402994730575</v>
      </c>
      <c r="DK50" s="232"/>
      <c r="DL50" s="266">
        <v>65.463413705550437</v>
      </c>
      <c r="DM50" s="263"/>
      <c r="DN50" s="266">
        <v>74.938924692307111</v>
      </c>
      <c r="DO50" s="263" t="s">
        <v>228</v>
      </c>
      <c r="DP50" s="266">
        <v>49.15316960045395</v>
      </c>
      <c r="DQ50" s="263"/>
      <c r="DR50" s="266">
        <v>48.801218882488072</v>
      </c>
      <c r="DS50" s="263"/>
      <c r="DT50" s="266">
        <v>55.001530707678839</v>
      </c>
      <c r="DU50" s="263"/>
      <c r="DV50" s="266">
        <v>53.709440151048859</v>
      </c>
      <c r="DW50" s="263"/>
      <c r="DX50" s="192">
        <v>69.942913929222101</v>
      </c>
      <c r="DY50" s="189"/>
      <c r="DZ50" s="192">
        <v>76.442636227885913</v>
      </c>
      <c r="EA50" s="189"/>
      <c r="EB50" s="192">
        <v>54.073006312736979</v>
      </c>
      <c r="EC50" s="189"/>
      <c r="ED50" s="192">
        <v>60.393536542654367</v>
      </c>
      <c r="EE50" s="189"/>
      <c r="EF50" s="192">
        <v>56.842935246148087</v>
      </c>
      <c r="EG50" s="189"/>
      <c r="EH50" s="192">
        <v>46.963190888424535</v>
      </c>
      <c r="EI50" s="189"/>
    </row>
    <row r="51" spans="1:139" outlineLevel="1" x14ac:dyDescent="0.2">
      <c r="A51"/>
      <c r="B51" s="11" t="s">
        <v>82</v>
      </c>
      <c r="C51" s="12">
        <v>25.102831057985259</v>
      </c>
      <c r="D51" s="193">
        <v>25.122710877803019</v>
      </c>
      <c r="E51" s="189"/>
      <c r="F51" s="193">
        <v>25.083095583910001</v>
      </c>
      <c r="G51" s="189"/>
      <c r="H51" s="207">
        <v>25.801216854340719</v>
      </c>
      <c r="I51" s="203"/>
      <c r="J51" s="207">
        <v>27.031323465299067</v>
      </c>
      <c r="K51" s="203"/>
      <c r="L51" s="207">
        <v>23.79912276972351</v>
      </c>
      <c r="M51" s="203"/>
      <c r="N51" s="207">
        <v>21.550090001115059</v>
      </c>
      <c r="O51" s="203"/>
      <c r="P51" s="221">
        <v>26.128775240165169</v>
      </c>
      <c r="Q51" s="217"/>
      <c r="R51" s="221">
        <v>29.488402650881721</v>
      </c>
      <c r="S51" s="217"/>
      <c r="T51" s="221">
        <v>22.555442661716871</v>
      </c>
      <c r="U51" s="217" t="s">
        <v>186</v>
      </c>
      <c r="V51" s="221">
        <v>13.71429790889181</v>
      </c>
      <c r="W51" s="217"/>
      <c r="X51" s="251">
        <v>32.109441355945023</v>
      </c>
      <c r="Y51" s="247"/>
      <c r="Z51" s="251">
        <v>28.597722797705678</v>
      </c>
      <c r="AA51" s="247" t="s">
        <v>190</v>
      </c>
      <c r="AB51" s="251">
        <v>10.521924970169543</v>
      </c>
      <c r="AC51" s="247"/>
      <c r="AD51" s="251">
        <v>34.845880268620334</v>
      </c>
      <c r="AE51" s="247"/>
      <c r="AF51" s="251">
        <v>12.849442571028483</v>
      </c>
      <c r="AG51" s="247"/>
      <c r="AH51" s="251">
        <v>16.626601471624511</v>
      </c>
      <c r="AI51" s="247"/>
      <c r="AJ51" s="236">
        <v>30.982522875033379</v>
      </c>
      <c r="AK51" s="232" t="s">
        <v>195</v>
      </c>
      <c r="AL51" s="236">
        <v>27.608928197267286</v>
      </c>
      <c r="AM51" s="232"/>
      <c r="AN51" s="236">
        <v>11.467455385523774</v>
      </c>
      <c r="AO51" s="232"/>
      <c r="AP51" s="236">
        <v>12.390736746509251</v>
      </c>
      <c r="AQ51" s="232"/>
      <c r="AR51" s="236">
        <v>14.422859119007478</v>
      </c>
      <c r="AS51" s="232"/>
      <c r="AT51" s="236">
        <v>10.967269096736448</v>
      </c>
      <c r="AU51" s="232"/>
      <c r="AV51" s="267">
        <v>22.827517030190094</v>
      </c>
      <c r="AW51" s="263"/>
      <c r="AX51" s="267">
        <v>23.479294882012493</v>
      </c>
      <c r="AY51" s="263"/>
      <c r="AZ51" s="267">
        <v>29.913235744707183</v>
      </c>
      <c r="BA51" s="263"/>
      <c r="BB51" s="267">
        <v>30.868166988680564</v>
      </c>
      <c r="BC51" s="263"/>
      <c r="BD51" s="267">
        <v>27.74641924035982</v>
      </c>
      <c r="BE51" s="263"/>
      <c r="BF51" s="267">
        <v>24.547933085537608</v>
      </c>
      <c r="BG51" s="263"/>
      <c r="BH51" s="267">
        <v>15.15211457639829</v>
      </c>
      <c r="BI51" s="263"/>
      <c r="BJ51" s="267">
        <v>13.407074111727221</v>
      </c>
      <c r="BK51" s="263"/>
      <c r="BL51" s="193">
        <v>23.310772795165398</v>
      </c>
      <c r="BM51" s="189"/>
      <c r="BN51" s="193">
        <v>26.676382158106339</v>
      </c>
      <c r="BO51" s="189"/>
      <c r="BP51" s="193">
        <v>26.984918261089749</v>
      </c>
      <c r="BQ51" s="189"/>
      <c r="BR51" s="193">
        <v>23.422915518758955</v>
      </c>
      <c r="BS51" s="189"/>
      <c r="BT51" s="207">
        <v>26.0583625618677</v>
      </c>
      <c r="BU51" s="203"/>
      <c r="BV51" s="207">
        <v>23.412737322899638</v>
      </c>
      <c r="BW51" s="203"/>
      <c r="BX51" s="207">
        <v>23.254061018066565</v>
      </c>
      <c r="BY51" s="203"/>
      <c r="BZ51" s="207">
        <v>25.85774195428591</v>
      </c>
      <c r="CA51" s="203"/>
      <c r="CB51" s="207">
        <v>22.679335435911991</v>
      </c>
      <c r="CC51" s="203"/>
      <c r="CD51" s="207">
        <v>22.695584006993766</v>
      </c>
      <c r="CE51" s="203"/>
      <c r="CF51" s="207">
        <v>29.542284342055364</v>
      </c>
      <c r="CG51" s="203"/>
      <c r="CH51" s="207">
        <v>27.935134742550908</v>
      </c>
      <c r="CI51" s="203"/>
      <c r="CJ51" s="221">
        <v>23.678485117607369</v>
      </c>
      <c r="CK51" s="217"/>
      <c r="CL51" s="221">
        <v>23.01375196220296</v>
      </c>
      <c r="CM51" s="217"/>
      <c r="CN51" s="221">
        <v>25.059822482353017</v>
      </c>
      <c r="CO51" s="217"/>
      <c r="CP51" s="221">
        <v>27.584337162898283</v>
      </c>
      <c r="CQ51" s="217"/>
      <c r="CR51" s="251">
        <v>26.013040266917965</v>
      </c>
      <c r="CS51" s="247"/>
      <c r="CT51" s="251">
        <v>22.471231657118285</v>
      </c>
      <c r="CU51" s="247"/>
      <c r="CV51" s="251">
        <v>24.891307426280171</v>
      </c>
      <c r="CW51" s="247"/>
      <c r="CX51" s="251">
        <v>26.243637021903851</v>
      </c>
      <c r="CY51" s="247"/>
      <c r="CZ51" s="236">
        <v>21.480829215112351</v>
      </c>
      <c r="DA51" s="232"/>
      <c r="DB51" s="236">
        <v>22.65183583997673</v>
      </c>
      <c r="DC51" s="232"/>
      <c r="DD51" s="236">
        <v>40.771299635456415</v>
      </c>
      <c r="DE51" s="232"/>
      <c r="DF51" s="236">
        <v>30.899817457565963</v>
      </c>
      <c r="DG51" s="232"/>
      <c r="DH51" s="236">
        <v>32.806797498158502</v>
      </c>
      <c r="DI51" s="232"/>
      <c r="DJ51" s="236">
        <v>31.828494387349433</v>
      </c>
      <c r="DK51" s="232"/>
      <c r="DL51" s="267">
        <v>29.031181321927356</v>
      </c>
      <c r="DM51" s="263"/>
      <c r="DN51" s="267">
        <v>36.79174591635315</v>
      </c>
      <c r="DO51" s="263" t="s">
        <v>228</v>
      </c>
      <c r="DP51" s="267">
        <v>17.949480384321483</v>
      </c>
      <c r="DQ51" s="263"/>
      <c r="DR51" s="267">
        <v>17.324709524321417</v>
      </c>
      <c r="DS51" s="263"/>
      <c r="DT51" s="267">
        <v>25.50107214260888</v>
      </c>
      <c r="DU51" s="263" t="s">
        <v>233</v>
      </c>
      <c r="DV51" s="267">
        <v>12.689498323094893</v>
      </c>
      <c r="DW51" s="263"/>
      <c r="DX51" s="193">
        <v>33.644619886269531</v>
      </c>
      <c r="DY51" s="189"/>
      <c r="DZ51" s="193">
        <v>41.048400023622115</v>
      </c>
      <c r="EA51" s="189"/>
      <c r="EB51" s="193">
        <v>24.195912449249494</v>
      </c>
      <c r="EC51" s="189" t="s">
        <v>237</v>
      </c>
      <c r="ED51" s="193">
        <v>17.466769934681487</v>
      </c>
      <c r="EE51" s="189"/>
      <c r="EF51" s="193">
        <v>15.805342668327494</v>
      </c>
      <c r="EG51" s="189"/>
      <c r="EH51" s="193">
        <v>14.136009802959675</v>
      </c>
      <c r="EI51" s="189"/>
    </row>
    <row r="52" spans="1:139" outlineLevel="1" x14ac:dyDescent="0.2">
      <c r="A52"/>
      <c r="B52" s="11" t="s">
        <v>83</v>
      </c>
      <c r="C52" s="12">
        <v>35.962883917321221</v>
      </c>
      <c r="D52" s="193">
        <v>33.806576678689609</v>
      </c>
      <c r="E52" s="189"/>
      <c r="F52" s="193">
        <v>38.103534385807869</v>
      </c>
      <c r="G52" s="189"/>
      <c r="H52" s="207">
        <v>33.940928078459862</v>
      </c>
      <c r="I52" s="203"/>
      <c r="J52" s="207">
        <v>39.073934436764304</v>
      </c>
      <c r="K52" s="203"/>
      <c r="L52" s="207">
        <v>33.544492155945754</v>
      </c>
      <c r="M52" s="203"/>
      <c r="N52" s="207">
        <v>36.343766531993367</v>
      </c>
      <c r="O52" s="203"/>
      <c r="P52" s="221">
        <v>34.275150963647981</v>
      </c>
      <c r="Q52" s="217"/>
      <c r="R52" s="221">
        <v>38.85472184947313</v>
      </c>
      <c r="S52" s="217"/>
      <c r="T52" s="221">
        <v>32.610871996511541</v>
      </c>
      <c r="U52" s="217"/>
      <c r="V52" s="221">
        <v>36.164941193417498</v>
      </c>
      <c r="W52" s="217"/>
      <c r="X52" s="251">
        <v>35.082727823906474</v>
      </c>
      <c r="Y52" s="247"/>
      <c r="Z52" s="251">
        <v>25.983587510854015</v>
      </c>
      <c r="AA52" s="247"/>
      <c r="AB52" s="251">
        <v>34.90595512302778</v>
      </c>
      <c r="AC52" s="247"/>
      <c r="AD52" s="251">
        <v>42.074594529137826</v>
      </c>
      <c r="AE52" s="247"/>
      <c r="AF52" s="251">
        <v>37.880368055630441</v>
      </c>
      <c r="AG52" s="247"/>
      <c r="AH52" s="251">
        <v>24.839511984396818</v>
      </c>
      <c r="AI52" s="247"/>
      <c r="AJ52" s="236">
        <v>33.522073930363987</v>
      </c>
      <c r="AK52" s="232"/>
      <c r="AL52" s="236">
        <v>25.687130794708075</v>
      </c>
      <c r="AM52" s="232"/>
      <c r="AN52" s="236">
        <v>33.192482055498907</v>
      </c>
      <c r="AO52" s="232"/>
      <c r="AP52" s="236">
        <v>51.396526279940971</v>
      </c>
      <c r="AQ52" s="232"/>
      <c r="AR52" s="236">
        <v>35.398780962261704</v>
      </c>
      <c r="AS52" s="232"/>
      <c r="AT52" s="236">
        <v>24.19206115025564</v>
      </c>
      <c r="AU52" s="232"/>
      <c r="AV52" s="267">
        <v>40.832806946725846</v>
      </c>
      <c r="AW52" s="263"/>
      <c r="AX52" s="267">
        <v>39.66316891206619</v>
      </c>
      <c r="AY52" s="263"/>
      <c r="AZ52" s="267">
        <v>35.476177583361391</v>
      </c>
      <c r="BA52" s="263"/>
      <c r="BB52" s="267">
        <v>39.459369207533157</v>
      </c>
      <c r="BC52" s="263"/>
      <c r="BD52" s="267">
        <v>29.402440788745821</v>
      </c>
      <c r="BE52" s="263"/>
      <c r="BF52" s="267">
        <v>43.569508623964374</v>
      </c>
      <c r="BG52" s="263" t="s">
        <v>175</v>
      </c>
      <c r="BH52" s="267">
        <v>25.965173593222492</v>
      </c>
      <c r="BI52" s="263"/>
      <c r="BJ52" s="267">
        <v>28.505225888593483</v>
      </c>
      <c r="BK52" s="263"/>
      <c r="BL52" s="193">
        <v>32.66233104766733</v>
      </c>
      <c r="BM52" s="189"/>
      <c r="BN52" s="193">
        <v>36.459284430988234</v>
      </c>
      <c r="BO52" s="189"/>
      <c r="BP52" s="193">
        <v>34.982567559835758</v>
      </c>
      <c r="BQ52" s="189"/>
      <c r="BR52" s="193">
        <v>39.816817508458897</v>
      </c>
      <c r="BS52" s="189"/>
      <c r="BT52" s="207">
        <v>37.621810964930333</v>
      </c>
      <c r="BU52" s="203"/>
      <c r="BV52" s="207">
        <v>40.393078286372436</v>
      </c>
      <c r="BW52" s="203"/>
      <c r="BX52" s="207">
        <v>36.185850929388401</v>
      </c>
      <c r="BY52" s="203"/>
      <c r="BZ52" s="207">
        <v>37.76953755463294</v>
      </c>
      <c r="CA52" s="203"/>
      <c r="CB52" s="207">
        <v>28.993333839657726</v>
      </c>
      <c r="CC52" s="203"/>
      <c r="CD52" s="207">
        <v>41.820015207254464</v>
      </c>
      <c r="CE52" s="203" t="s">
        <v>212</v>
      </c>
      <c r="CF52" s="207">
        <v>31.655440754402193</v>
      </c>
      <c r="CG52" s="203"/>
      <c r="CH52" s="207">
        <v>32.508399367856349</v>
      </c>
      <c r="CI52" s="203"/>
      <c r="CJ52" s="221">
        <v>36.692472305455446</v>
      </c>
      <c r="CK52" s="217"/>
      <c r="CL52" s="221">
        <v>36.272442471613381</v>
      </c>
      <c r="CM52" s="217"/>
      <c r="CN52" s="221">
        <v>32.354472835919488</v>
      </c>
      <c r="CO52" s="217"/>
      <c r="CP52" s="221">
        <v>39.815367106037137</v>
      </c>
      <c r="CQ52" s="217" t="s">
        <v>217</v>
      </c>
      <c r="CR52" s="251">
        <v>31.128543412372974</v>
      </c>
      <c r="CS52" s="247"/>
      <c r="CT52" s="251">
        <v>39.929847971445298</v>
      </c>
      <c r="CU52" s="247"/>
      <c r="CV52" s="251">
        <v>34.705134118087756</v>
      </c>
      <c r="CW52" s="247"/>
      <c r="CX52" s="251">
        <v>37.17030179213323</v>
      </c>
      <c r="CY52" s="247"/>
      <c r="CZ52" s="236">
        <v>32.476510438395565</v>
      </c>
      <c r="DA52" s="232"/>
      <c r="DB52" s="236">
        <v>37.939139083645173</v>
      </c>
      <c r="DC52" s="232"/>
      <c r="DD52" s="236">
        <v>30.18501178920955</v>
      </c>
      <c r="DE52" s="232"/>
      <c r="DF52" s="236">
        <v>34.321161479301246</v>
      </c>
      <c r="DG52" s="232"/>
      <c r="DH52" s="236">
        <v>35.877138133786552</v>
      </c>
      <c r="DI52" s="232"/>
      <c r="DJ52" s="236">
        <v>36.953908607381138</v>
      </c>
      <c r="DK52" s="232"/>
      <c r="DL52" s="267">
        <v>36.432232383623074</v>
      </c>
      <c r="DM52" s="263"/>
      <c r="DN52" s="267">
        <v>38.147178775953968</v>
      </c>
      <c r="DO52" s="263"/>
      <c r="DP52" s="267">
        <v>31.203689216132467</v>
      </c>
      <c r="DQ52" s="263"/>
      <c r="DR52" s="267">
        <v>31.476509358166656</v>
      </c>
      <c r="DS52" s="263"/>
      <c r="DT52" s="267">
        <v>29.500458565069962</v>
      </c>
      <c r="DU52" s="263"/>
      <c r="DV52" s="267">
        <v>41.019941827953964</v>
      </c>
      <c r="DW52" s="263" t="s">
        <v>232</v>
      </c>
      <c r="DX52" s="193">
        <v>36.298294042952577</v>
      </c>
      <c r="DY52" s="189"/>
      <c r="DZ52" s="193">
        <v>35.394236204263791</v>
      </c>
      <c r="EA52" s="189"/>
      <c r="EB52" s="193">
        <v>29.877093863487485</v>
      </c>
      <c r="EC52" s="189"/>
      <c r="ED52" s="193">
        <v>42.926766607972873</v>
      </c>
      <c r="EE52" s="189" t="s">
        <v>236</v>
      </c>
      <c r="EF52" s="193">
        <v>41.03759257782059</v>
      </c>
      <c r="EG52" s="189"/>
      <c r="EH52" s="193">
        <v>32.827181085464858</v>
      </c>
      <c r="EI52" s="189"/>
    </row>
    <row r="53" spans="1:139" outlineLevel="1" x14ac:dyDescent="0.2">
      <c r="A53"/>
      <c r="B53" s="7"/>
      <c r="E53" s="187"/>
      <c r="G53" s="187"/>
      <c r="I53" s="201"/>
      <c r="K53" s="201"/>
      <c r="M53" s="201"/>
      <c r="O53" s="201"/>
      <c r="Q53" s="215"/>
      <c r="S53" s="215"/>
      <c r="U53" s="215"/>
      <c r="W53" s="215"/>
      <c r="Y53" s="245"/>
      <c r="AA53" s="245"/>
      <c r="AC53" s="245"/>
      <c r="AE53" s="245"/>
      <c r="AG53" s="245"/>
      <c r="AI53" s="245"/>
      <c r="AK53" s="230"/>
      <c r="AM53" s="230"/>
      <c r="AO53" s="230"/>
      <c r="AQ53" s="230"/>
      <c r="AS53" s="230"/>
      <c r="AU53" s="230"/>
      <c r="AW53" s="261"/>
      <c r="AY53" s="261"/>
      <c r="BA53" s="261"/>
      <c r="BC53" s="261"/>
      <c r="BE53" s="261"/>
      <c r="BG53" s="261"/>
      <c r="BI53" s="261"/>
      <c r="BK53" s="261"/>
      <c r="BM53" s="187"/>
      <c r="BO53" s="187"/>
      <c r="BQ53" s="187"/>
      <c r="BS53" s="187"/>
      <c r="BU53" s="201"/>
      <c r="BW53" s="201"/>
      <c r="BY53" s="201"/>
      <c r="CA53" s="201"/>
      <c r="CC53" s="201"/>
      <c r="CE53" s="201"/>
      <c r="CG53" s="201"/>
      <c r="CI53" s="201"/>
      <c r="CK53" s="215"/>
      <c r="CM53" s="215"/>
      <c r="CO53" s="215"/>
      <c r="CQ53" s="215"/>
      <c r="CS53" s="245"/>
      <c r="CU53" s="245"/>
      <c r="CW53" s="245"/>
      <c r="CY53" s="245"/>
      <c r="DA53" s="230"/>
      <c r="DC53" s="230"/>
      <c r="DE53" s="230"/>
      <c r="DG53" s="230"/>
      <c r="DI53" s="230"/>
      <c r="DK53" s="230"/>
      <c r="DM53" s="261"/>
      <c r="DO53" s="261"/>
      <c r="DQ53" s="261"/>
      <c r="DS53" s="261"/>
      <c r="DU53" s="261"/>
      <c r="DW53" s="261"/>
      <c r="DY53" s="187"/>
      <c r="EA53" s="187"/>
      <c r="EC53" s="187"/>
      <c r="EE53" s="187"/>
      <c r="EG53" s="187"/>
      <c r="EI53" s="187"/>
    </row>
    <row r="54" spans="1:139" outlineLevel="1" x14ac:dyDescent="0.2">
      <c r="A54"/>
      <c r="B54" s="7" t="s">
        <v>84</v>
      </c>
      <c r="C54" s="10">
        <v>38.934285024693509</v>
      </c>
      <c r="D54" s="192">
        <v>41.070712443507368</v>
      </c>
      <c r="E54" s="189"/>
      <c r="F54" s="192">
        <v>36.813370030282137</v>
      </c>
      <c r="G54" s="189"/>
      <c r="H54" s="206">
        <v>40.257855067199422</v>
      </c>
      <c r="I54" s="203"/>
      <c r="J54" s="206">
        <v>33.894742097936629</v>
      </c>
      <c r="K54" s="203"/>
      <c r="L54" s="206">
        <v>42.656385074330743</v>
      </c>
      <c r="M54" s="203"/>
      <c r="N54" s="206">
        <v>42.106143466891581</v>
      </c>
      <c r="O54" s="203"/>
      <c r="P54" s="220">
        <v>39.596073796186857</v>
      </c>
      <c r="Q54" s="217" t="s">
        <v>184</v>
      </c>
      <c r="R54" s="220">
        <v>31.656875499645142</v>
      </c>
      <c r="S54" s="217"/>
      <c r="T54" s="220">
        <v>44.833685341771584</v>
      </c>
      <c r="U54" s="217"/>
      <c r="V54" s="220">
        <v>50.12076089769068</v>
      </c>
      <c r="W54" s="217"/>
      <c r="X54" s="250">
        <v>32.80783082014851</v>
      </c>
      <c r="Y54" s="247"/>
      <c r="Z54" s="250">
        <v>45.418689691440314</v>
      </c>
      <c r="AA54" s="247"/>
      <c r="AB54" s="250">
        <v>54.572119906802669</v>
      </c>
      <c r="AC54" s="247"/>
      <c r="AD54" s="250">
        <v>23.079525202241836</v>
      </c>
      <c r="AE54" s="247"/>
      <c r="AF54" s="250">
        <v>49.270189373341076</v>
      </c>
      <c r="AG54" s="247"/>
      <c r="AH54" s="250">
        <v>58.533886543978667</v>
      </c>
      <c r="AI54" s="247"/>
      <c r="AJ54" s="235">
        <v>35.495403194602638</v>
      </c>
      <c r="AK54" s="232"/>
      <c r="AL54" s="235">
        <v>46.703941008024643</v>
      </c>
      <c r="AM54" s="232"/>
      <c r="AN54" s="235">
        <v>55.340062558977323</v>
      </c>
      <c r="AO54" s="232"/>
      <c r="AP54" s="235">
        <v>36.212736973549781</v>
      </c>
      <c r="AQ54" s="232"/>
      <c r="AR54" s="235">
        <v>50.17835991873082</v>
      </c>
      <c r="AS54" s="232"/>
      <c r="AT54" s="235">
        <v>64.840669753007916</v>
      </c>
      <c r="AU54" s="232"/>
      <c r="AV54" s="266">
        <v>36.339676023084053</v>
      </c>
      <c r="AW54" s="263"/>
      <c r="AX54" s="266">
        <v>36.857536205921306</v>
      </c>
      <c r="AY54" s="263"/>
      <c r="AZ54" s="266">
        <v>34.610586671931422</v>
      </c>
      <c r="BA54" s="263"/>
      <c r="BB54" s="266">
        <v>29.672463803786268</v>
      </c>
      <c r="BC54" s="263"/>
      <c r="BD54" s="266">
        <v>42.851139970894359</v>
      </c>
      <c r="BE54" s="263"/>
      <c r="BF54" s="266">
        <v>31.882558290498011</v>
      </c>
      <c r="BG54" s="263"/>
      <c r="BH54" s="266">
        <v>58.882711830379222</v>
      </c>
      <c r="BI54" s="263"/>
      <c r="BJ54" s="266">
        <v>58.087699999679295</v>
      </c>
      <c r="BK54" s="263"/>
      <c r="BL54" s="192">
        <v>44.026896157167279</v>
      </c>
      <c r="BM54" s="189"/>
      <c r="BN54" s="192">
        <v>36.864333410905431</v>
      </c>
      <c r="BO54" s="189"/>
      <c r="BP54" s="192">
        <v>38.032514179074496</v>
      </c>
      <c r="BQ54" s="189"/>
      <c r="BR54" s="192">
        <v>36.760266972782155</v>
      </c>
      <c r="BS54" s="189"/>
      <c r="BT54" s="206">
        <v>36.319826473201971</v>
      </c>
      <c r="BU54" s="203"/>
      <c r="BV54" s="206">
        <v>36.194184390727926</v>
      </c>
      <c r="BW54" s="203"/>
      <c r="BX54" s="206">
        <v>40.560088052545041</v>
      </c>
      <c r="BY54" s="203"/>
      <c r="BZ54" s="206">
        <v>36.372720491081139</v>
      </c>
      <c r="CA54" s="203"/>
      <c r="CB54" s="206">
        <v>48.32733072443029</v>
      </c>
      <c r="CC54" s="203" t="s">
        <v>213</v>
      </c>
      <c r="CD54" s="206">
        <v>35.484400785751774</v>
      </c>
      <c r="CE54" s="203"/>
      <c r="CF54" s="206">
        <v>38.802274903542447</v>
      </c>
      <c r="CG54" s="203"/>
      <c r="CH54" s="206">
        <v>39.556465889592744</v>
      </c>
      <c r="CI54" s="203"/>
      <c r="CJ54" s="220">
        <v>39.629042576937181</v>
      </c>
      <c r="CK54" s="217"/>
      <c r="CL54" s="220">
        <v>40.713805566183652</v>
      </c>
      <c r="CM54" s="217"/>
      <c r="CN54" s="220">
        <v>42.585704681727499</v>
      </c>
      <c r="CO54" s="217" t="s">
        <v>218</v>
      </c>
      <c r="CP54" s="220">
        <v>32.600295731064591</v>
      </c>
      <c r="CQ54" s="217"/>
      <c r="CR54" s="250">
        <v>42.858416320709068</v>
      </c>
      <c r="CS54" s="247"/>
      <c r="CT54" s="250">
        <v>37.598920371436414</v>
      </c>
      <c r="CU54" s="247"/>
      <c r="CV54" s="250">
        <v>40.403558455632073</v>
      </c>
      <c r="CW54" s="247"/>
      <c r="CX54" s="250">
        <v>36.586061185962919</v>
      </c>
      <c r="CY54" s="247"/>
      <c r="CZ54" s="235">
        <v>46.042660346492092</v>
      </c>
      <c r="DA54" s="232" t="s">
        <v>223</v>
      </c>
      <c r="DB54" s="235">
        <v>39.409025076378093</v>
      </c>
      <c r="DC54" s="232"/>
      <c r="DD54" s="235">
        <v>29.043688575334027</v>
      </c>
      <c r="DE54" s="232"/>
      <c r="DF54" s="235">
        <v>34.779021063132802</v>
      </c>
      <c r="DG54" s="232"/>
      <c r="DH54" s="235">
        <v>31.316064368054949</v>
      </c>
      <c r="DI54" s="232"/>
      <c r="DJ54" s="235">
        <v>31.217597005269418</v>
      </c>
      <c r="DK54" s="232"/>
      <c r="DL54" s="266">
        <v>34.536586294449563</v>
      </c>
      <c r="DM54" s="263" t="s">
        <v>229</v>
      </c>
      <c r="DN54" s="266">
        <v>25.061075307692882</v>
      </c>
      <c r="DO54" s="263"/>
      <c r="DP54" s="266">
        <v>50.846830399546057</v>
      </c>
      <c r="DQ54" s="263"/>
      <c r="DR54" s="266">
        <v>51.198781117511928</v>
      </c>
      <c r="DS54" s="263"/>
      <c r="DT54" s="266">
        <v>44.998469292321154</v>
      </c>
      <c r="DU54" s="263"/>
      <c r="DV54" s="266">
        <v>46.290559848951148</v>
      </c>
      <c r="DW54" s="263"/>
      <c r="DX54" s="192">
        <v>30.057086070777896</v>
      </c>
      <c r="DY54" s="189"/>
      <c r="DZ54" s="192">
        <v>23.557363772114098</v>
      </c>
      <c r="EA54" s="189"/>
      <c r="EB54" s="192">
        <v>45.926993687263014</v>
      </c>
      <c r="EC54" s="189"/>
      <c r="ED54" s="192">
        <v>39.60646345734564</v>
      </c>
      <c r="EE54" s="189"/>
      <c r="EF54" s="192">
        <v>43.157064753851913</v>
      </c>
      <c r="EG54" s="189"/>
      <c r="EH54" s="192">
        <v>53.036809111575465</v>
      </c>
      <c r="EI54" s="189"/>
    </row>
    <row r="55" spans="1:139" outlineLevel="1" x14ac:dyDescent="0.2">
      <c r="A55"/>
      <c r="B55" s="11" t="s">
        <v>85</v>
      </c>
      <c r="C55" s="12">
        <v>25.992121943144358</v>
      </c>
      <c r="D55" s="193">
        <v>27.237057124194934</v>
      </c>
      <c r="E55" s="189"/>
      <c r="F55" s="193">
        <v>24.756226134417872</v>
      </c>
      <c r="G55" s="189"/>
      <c r="H55" s="207">
        <v>28.738921176897929</v>
      </c>
      <c r="I55" s="203"/>
      <c r="J55" s="207">
        <v>23.480370649987446</v>
      </c>
      <c r="K55" s="203"/>
      <c r="L55" s="207">
        <v>24.30731225996627</v>
      </c>
      <c r="M55" s="203"/>
      <c r="N55" s="207">
        <v>27.069920847645342</v>
      </c>
      <c r="O55" s="203"/>
      <c r="P55" s="221">
        <v>28.783951414209657</v>
      </c>
      <c r="Q55" s="217" t="s">
        <v>184</v>
      </c>
      <c r="R55" s="221">
        <v>22.082377284464943</v>
      </c>
      <c r="S55" s="217"/>
      <c r="T55" s="221">
        <v>23.289702766988892</v>
      </c>
      <c r="U55" s="217"/>
      <c r="V55" s="221">
        <v>31.65664104910196</v>
      </c>
      <c r="W55" s="217"/>
      <c r="X55" s="251">
        <v>25.068022755721678</v>
      </c>
      <c r="Y55" s="247"/>
      <c r="Z55" s="251">
        <v>25.888653124120978</v>
      </c>
      <c r="AA55" s="247"/>
      <c r="AB55" s="251">
        <v>25.634250349822345</v>
      </c>
      <c r="AC55" s="247"/>
      <c r="AD55" s="251">
        <v>16.974888579423851</v>
      </c>
      <c r="AE55" s="247"/>
      <c r="AF55" s="251">
        <v>35.762492278256957</v>
      </c>
      <c r="AG55" s="247"/>
      <c r="AH55" s="251">
        <v>30.729884999734491</v>
      </c>
      <c r="AI55" s="247"/>
      <c r="AJ55" s="236">
        <v>25.083243867747157</v>
      </c>
      <c r="AK55" s="232"/>
      <c r="AL55" s="236">
        <v>23.223127736300576</v>
      </c>
      <c r="AM55" s="232"/>
      <c r="AN55" s="236">
        <v>25.645739414872519</v>
      </c>
      <c r="AO55" s="232"/>
      <c r="AP55" s="236">
        <v>25.682824384152571</v>
      </c>
      <c r="AQ55" s="232"/>
      <c r="AR55" s="236">
        <v>35.016642891107942</v>
      </c>
      <c r="AS55" s="232"/>
      <c r="AT55" s="236">
        <v>34.040902500445149</v>
      </c>
      <c r="AU55" s="232"/>
      <c r="AV55" s="267">
        <v>25.258240131236963</v>
      </c>
      <c r="AW55" s="263"/>
      <c r="AX55" s="267">
        <v>29.275204498040004</v>
      </c>
      <c r="AY55" s="263"/>
      <c r="AZ55" s="267">
        <v>22.361883326175011</v>
      </c>
      <c r="BA55" s="263"/>
      <c r="BB55" s="267">
        <v>18.169965465963369</v>
      </c>
      <c r="BC55" s="263"/>
      <c r="BD55" s="267">
        <v>32.330238376892503</v>
      </c>
      <c r="BE55" s="263"/>
      <c r="BF55" s="267">
        <v>21.858564099111877</v>
      </c>
      <c r="BG55" s="263"/>
      <c r="BH55" s="267">
        <v>36.439076669171278</v>
      </c>
      <c r="BI55" s="263"/>
      <c r="BJ55" s="267">
        <v>37.911584828086063</v>
      </c>
      <c r="BK55" s="263"/>
      <c r="BL55" s="193">
        <v>28.573598721701117</v>
      </c>
      <c r="BM55" s="189"/>
      <c r="BN55" s="193">
        <v>25.352556419100722</v>
      </c>
      <c r="BO55" s="189"/>
      <c r="BP55" s="193">
        <v>25.863435335020579</v>
      </c>
      <c r="BQ55" s="189"/>
      <c r="BR55" s="193">
        <v>24.134859164464157</v>
      </c>
      <c r="BS55" s="189"/>
      <c r="BT55" s="207">
        <v>27.255932211140532</v>
      </c>
      <c r="BU55" s="203"/>
      <c r="BV55" s="207">
        <v>29.714517363555341</v>
      </c>
      <c r="BW55" s="203"/>
      <c r="BX55" s="207">
        <v>27.473317377908426</v>
      </c>
      <c r="BY55" s="203"/>
      <c r="BZ55" s="207">
        <v>20.429104751425601</v>
      </c>
      <c r="CA55" s="203"/>
      <c r="CB55" s="207">
        <v>28.182415353887439</v>
      </c>
      <c r="CC55" s="203"/>
      <c r="CD55" s="207">
        <v>24.549311681972075</v>
      </c>
      <c r="CE55" s="203"/>
      <c r="CF55" s="207">
        <v>25.937242374614971</v>
      </c>
      <c r="CG55" s="203"/>
      <c r="CH55" s="207">
        <v>27.451459649862809</v>
      </c>
      <c r="CI55" s="203"/>
      <c r="CJ55" s="221">
        <v>25.755971946244745</v>
      </c>
      <c r="CK55" s="217"/>
      <c r="CL55" s="221">
        <v>26.472439339120772</v>
      </c>
      <c r="CM55" s="217"/>
      <c r="CN55" s="221">
        <v>28.537333834386079</v>
      </c>
      <c r="CO55" s="217"/>
      <c r="CP55" s="221">
        <v>22.321886899821472</v>
      </c>
      <c r="CQ55" s="217"/>
      <c r="CR55" s="251">
        <v>27.840460484425542</v>
      </c>
      <c r="CS55" s="247"/>
      <c r="CT55" s="251">
        <v>23.161108677157159</v>
      </c>
      <c r="CU55" s="247"/>
      <c r="CV55" s="251">
        <v>26.956461158749352</v>
      </c>
      <c r="CW55" s="247"/>
      <c r="CX55" s="251">
        <v>25.526225141586284</v>
      </c>
      <c r="CY55" s="247"/>
      <c r="CZ55" s="236">
        <v>31.493315941206738</v>
      </c>
      <c r="DA55" s="232"/>
      <c r="DB55" s="236">
        <v>25.850507139774759</v>
      </c>
      <c r="DC55" s="232"/>
      <c r="DD55" s="236">
        <v>18.079878203919847</v>
      </c>
      <c r="DE55" s="232"/>
      <c r="DF55" s="236">
        <v>25.531000374990274</v>
      </c>
      <c r="DG55" s="232"/>
      <c r="DH55" s="236">
        <v>20.137374921840646</v>
      </c>
      <c r="DI55" s="232"/>
      <c r="DJ55" s="236">
        <v>22.300766955242011</v>
      </c>
      <c r="DK55" s="232"/>
      <c r="DL55" s="267">
        <v>24.976631403717445</v>
      </c>
      <c r="DM55" s="263" t="s">
        <v>229</v>
      </c>
      <c r="DN55" s="267">
        <v>16.612937242023438</v>
      </c>
      <c r="DO55" s="263"/>
      <c r="DP55" s="267">
        <v>29.289937563016426</v>
      </c>
      <c r="DQ55" s="263"/>
      <c r="DR55" s="267">
        <v>30.173741707019573</v>
      </c>
      <c r="DS55" s="263"/>
      <c r="DT55" s="267">
        <v>31.852246904119447</v>
      </c>
      <c r="DU55" s="263"/>
      <c r="DV55" s="267">
        <v>35.490915478886819</v>
      </c>
      <c r="DW55" s="263"/>
      <c r="DX55" s="193">
        <v>21.677248385137748</v>
      </c>
      <c r="DY55" s="189"/>
      <c r="DZ55" s="193">
        <v>17.436325748947553</v>
      </c>
      <c r="EA55" s="189"/>
      <c r="EB55" s="193">
        <v>30.269906430783696</v>
      </c>
      <c r="EC55" s="189"/>
      <c r="ED55" s="193">
        <v>27.726979847928781</v>
      </c>
      <c r="EE55" s="189"/>
      <c r="EF55" s="193">
        <v>26.708356087892938</v>
      </c>
      <c r="EG55" s="189"/>
      <c r="EH55" s="193">
        <v>30.828526835323778</v>
      </c>
      <c r="EI55" s="189"/>
    </row>
    <row r="56" spans="1:139" outlineLevel="1" x14ac:dyDescent="0.2">
      <c r="A56"/>
      <c r="B56" s="11" t="s">
        <v>86</v>
      </c>
      <c r="C56" s="12">
        <v>12.942163081549147</v>
      </c>
      <c r="D56" s="193">
        <v>13.833655319312435</v>
      </c>
      <c r="E56" s="189"/>
      <c r="F56" s="193">
        <v>12.057143895864263</v>
      </c>
      <c r="G56" s="189"/>
      <c r="H56" s="207">
        <v>11.51893389030149</v>
      </c>
      <c r="I56" s="203"/>
      <c r="J56" s="207">
        <v>10.414371447949177</v>
      </c>
      <c r="K56" s="203"/>
      <c r="L56" s="207">
        <v>18.349072814364469</v>
      </c>
      <c r="M56" s="203"/>
      <c r="N56" s="207">
        <v>15.036222619246239</v>
      </c>
      <c r="O56" s="203"/>
      <c r="P56" s="221">
        <v>10.812122381977199</v>
      </c>
      <c r="Q56" s="217"/>
      <c r="R56" s="221">
        <v>9.5744982151801992</v>
      </c>
      <c r="S56" s="217"/>
      <c r="T56" s="221">
        <v>21.543982574782692</v>
      </c>
      <c r="U56" s="217"/>
      <c r="V56" s="221">
        <v>18.464119848588719</v>
      </c>
      <c r="W56" s="217"/>
      <c r="X56" s="251">
        <v>7.7398080644268337</v>
      </c>
      <c r="Y56" s="247"/>
      <c r="Z56" s="251">
        <v>19.530036567319335</v>
      </c>
      <c r="AA56" s="247"/>
      <c r="AB56" s="251">
        <v>28.937869556980328</v>
      </c>
      <c r="AC56" s="247"/>
      <c r="AD56" s="251">
        <v>6.1046366228179858</v>
      </c>
      <c r="AE56" s="247"/>
      <c r="AF56" s="251">
        <v>13.507697095084119</v>
      </c>
      <c r="AG56" s="247"/>
      <c r="AH56" s="251">
        <v>27.804001544244173</v>
      </c>
      <c r="AI56" s="247"/>
      <c r="AJ56" s="236">
        <v>10.41215932685548</v>
      </c>
      <c r="AK56" s="232"/>
      <c r="AL56" s="236">
        <v>23.480813271724067</v>
      </c>
      <c r="AM56" s="232"/>
      <c r="AN56" s="236">
        <v>29.694323144104807</v>
      </c>
      <c r="AO56" s="232"/>
      <c r="AP56" s="236">
        <v>10.529912589397208</v>
      </c>
      <c r="AQ56" s="232"/>
      <c r="AR56" s="236">
        <v>15.161717027622876</v>
      </c>
      <c r="AS56" s="232"/>
      <c r="AT56" s="236">
        <v>30.799767252562766</v>
      </c>
      <c r="AU56" s="232"/>
      <c r="AV56" s="267">
        <v>11.081435891847089</v>
      </c>
      <c r="AW56" s="263"/>
      <c r="AX56" s="267">
        <v>7.5823317078813028</v>
      </c>
      <c r="AY56" s="263"/>
      <c r="AZ56" s="267">
        <v>12.248703345756415</v>
      </c>
      <c r="BA56" s="263"/>
      <c r="BB56" s="267">
        <v>11.502498337822901</v>
      </c>
      <c r="BC56" s="263"/>
      <c r="BD56" s="267">
        <v>10.520901594001856</v>
      </c>
      <c r="BE56" s="263"/>
      <c r="BF56" s="267">
        <v>10.023994191386134</v>
      </c>
      <c r="BG56" s="263"/>
      <c r="BH56" s="267">
        <v>22.44363516120794</v>
      </c>
      <c r="BI56" s="263"/>
      <c r="BJ56" s="267">
        <v>20.176115171593231</v>
      </c>
      <c r="BK56" s="263"/>
      <c r="BL56" s="193">
        <v>15.453297435466162</v>
      </c>
      <c r="BM56" s="189"/>
      <c r="BN56" s="193">
        <v>11.511776991804707</v>
      </c>
      <c r="BO56" s="189"/>
      <c r="BP56" s="193">
        <v>12.169078844053919</v>
      </c>
      <c r="BQ56" s="189"/>
      <c r="BR56" s="193">
        <v>12.625407808317998</v>
      </c>
      <c r="BS56" s="189"/>
      <c r="BT56" s="207">
        <v>9.0638942620614387</v>
      </c>
      <c r="BU56" s="203"/>
      <c r="BV56" s="207">
        <v>6.4796670271725851</v>
      </c>
      <c r="BW56" s="203"/>
      <c r="BX56" s="207">
        <v>13.086770674636613</v>
      </c>
      <c r="BY56" s="203"/>
      <c r="BZ56" s="207">
        <v>15.94361573965554</v>
      </c>
      <c r="CA56" s="203"/>
      <c r="CB56" s="207">
        <v>20.144915370542847</v>
      </c>
      <c r="CC56" s="203" t="s">
        <v>213</v>
      </c>
      <c r="CD56" s="207">
        <v>10.935089103779696</v>
      </c>
      <c r="CE56" s="203"/>
      <c r="CF56" s="207">
        <v>12.865032528927475</v>
      </c>
      <c r="CG56" s="203"/>
      <c r="CH56" s="207">
        <v>12.105006239729935</v>
      </c>
      <c r="CI56" s="203"/>
      <c r="CJ56" s="221">
        <v>13.873070630692434</v>
      </c>
      <c r="CK56" s="217"/>
      <c r="CL56" s="221">
        <v>14.241366227062882</v>
      </c>
      <c r="CM56" s="217"/>
      <c r="CN56" s="221">
        <v>14.048370847341419</v>
      </c>
      <c r="CO56" s="217"/>
      <c r="CP56" s="221">
        <v>10.278408831243118</v>
      </c>
      <c r="CQ56" s="217"/>
      <c r="CR56" s="251">
        <v>15.017955836283525</v>
      </c>
      <c r="CS56" s="247"/>
      <c r="CT56" s="251">
        <v>14.437811694279256</v>
      </c>
      <c r="CU56" s="247"/>
      <c r="CV56" s="251">
        <v>13.447097296882724</v>
      </c>
      <c r="CW56" s="247"/>
      <c r="CX56" s="251">
        <v>11.059836044376633</v>
      </c>
      <c r="CY56" s="247"/>
      <c r="CZ56" s="236">
        <v>14.549344405285355</v>
      </c>
      <c r="DA56" s="232"/>
      <c r="DB56" s="236">
        <v>13.558517936603332</v>
      </c>
      <c r="DC56" s="232"/>
      <c r="DD56" s="236">
        <v>10.96381037141418</v>
      </c>
      <c r="DE56" s="232"/>
      <c r="DF56" s="236">
        <v>9.2480206881425246</v>
      </c>
      <c r="DG56" s="232"/>
      <c r="DH56" s="236">
        <v>11.178689446214303</v>
      </c>
      <c r="DI56" s="232"/>
      <c r="DJ56" s="236">
        <v>8.9168300500274089</v>
      </c>
      <c r="DK56" s="232"/>
      <c r="DL56" s="267">
        <v>9.5599548907321186</v>
      </c>
      <c r="DM56" s="263"/>
      <c r="DN56" s="267">
        <v>8.4481380656694398</v>
      </c>
      <c r="DO56" s="263"/>
      <c r="DP56" s="267">
        <v>21.556892836529627</v>
      </c>
      <c r="DQ56" s="263"/>
      <c r="DR56" s="267">
        <v>21.025039410492354</v>
      </c>
      <c r="DS56" s="263"/>
      <c r="DT56" s="267">
        <v>13.146222388201705</v>
      </c>
      <c r="DU56" s="263"/>
      <c r="DV56" s="267">
        <v>10.799644370064328</v>
      </c>
      <c r="DW56" s="263"/>
      <c r="DX56" s="193">
        <v>8.3798376856401475</v>
      </c>
      <c r="DY56" s="189"/>
      <c r="DZ56" s="193">
        <v>6.1210380231665447</v>
      </c>
      <c r="EA56" s="189"/>
      <c r="EB56" s="193">
        <v>15.65708725647932</v>
      </c>
      <c r="EC56" s="189"/>
      <c r="ED56" s="193">
        <v>11.879483609416859</v>
      </c>
      <c r="EE56" s="189"/>
      <c r="EF56" s="193">
        <v>16.448708665958975</v>
      </c>
      <c r="EG56" s="189"/>
      <c r="EH56" s="193">
        <v>22.20828227625169</v>
      </c>
      <c r="EI56" s="189"/>
    </row>
    <row r="57" spans="1:139" outlineLevel="1" x14ac:dyDescent="0.2">
      <c r="A57"/>
      <c r="B57"/>
      <c r="E57" s="187"/>
      <c r="G57" s="187"/>
      <c r="I57" s="201"/>
      <c r="K57" s="201"/>
      <c r="M57" s="201"/>
      <c r="O57" s="201"/>
      <c r="Q57" s="215"/>
      <c r="S57" s="215"/>
      <c r="U57" s="215"/>
      <c r="W57" s="215"/>
      <c r="Y57" s="245"/>
      <c r="AA57" s="245"/>
      <c r="AC57" s="245"/>
      <c r="AE57" s="245"/>
      <c r="AG57" s="245"/>
      <c r="AI57" s="245"/>
      <c r="AK57" s="230"/>
      <c r="AM57" s="230"/>
      <c r="AO57" s="230"/>
      <c r="AQ57" s="230"/>
      <c r="AS57" s="230"/>
      <c r="AU57" s="230"/>
      <c r="AW57" s="261"/>
      <c r="AY57" s="261"/>
      <c r="BA57" s="261"/>
      <c r="BC57" s="261"/>
      <c r="BE57" s="261"/>
      <c r="BG57" s="261"/>
      <c r="BI57" s="261"/>
      <c r="BK57" s="261"/>
      <c r="BM57" s="187"/>
      <c r="BO57" s="187"/>
      <c r="BQ57" s="187"/>
      <c r="BS57" s="187"/>
      <c r="BU57" s="201"/>
      <c r="BW57" s="201"/>
      <c r="BY57" s="201"/>
      <c r="CA57" s="201"/>
      <c r="CC57" s="201"/>
      <c r="CE57" s="201"/>
      <c r="CG57" s="201"/>
      <c r="CI57" s="201"/>
      <c r="CK57" s="215"/>
      <c r="CM57" s="215"/>
      <c r="CO57" s="215"/>
      <c r="CQ57" s="215"/>
      <c r="CS57" s="245"/>
      <c r="CU57" s="245"/>
      <c r="CW57" s="245"/>
      <c r="CY57" s="245"/>
      <c r="DA57" s="230"/>
      <c r="DC57" s="230"/>
      <c r="DE57" s="230"/>
      <c r="DG57" s="230"/>
      <c r="DI57" s="230"/>
      <c r="DK57" s="230"/>
      <c r="DM57" s="261"/>
      <c r="DO57" s="261"/>
      <c r="DQ57" s="261"/>
      <c r="DS57" s="261"/>
      <c r="DU57" s="261"/>
      <c r="DW57" s="261"/>
      <c r="DY57" s="187"/>
      <c r="EA57" s="187"/>
      <c r="EC57" s="187"/>
      <c r="EE57" s="187"/>
      <c r="EG57" s="187"/>
      <c r="EI57" s="187"/>
    </row>
    <row r="58" spans="1:139" x14ac:dyDescent="0.2">
      <c r="A58"/>
      <c r="B58"/>
      <c r="E58" s="187"/>
      <c r="G58" s="187"/>
      <c r="I58" s="201"/>
      <c r="K58" s="201"/>
      <c r="M58" s="201"/>
      <c r="O58" s="201"/>
      <c r="Q58" s="215"/>
      <c r="S58" s="215"/>
      <c r="U58" s="215"/>
      <c r="W58" s="215"/>
      <c r="Y58" s="245"/>
      <c r="AA58" s="245"/>
      <c r="AC58" s="245"/>
      <c r="AE58" s="245"/>
      <c r="AG58" s="245"/>
      <c r="AI58" s="245"/>
      <c r="AK58" s="230"/>
      <c r="AM58" s="230"/>
      <c r="AO58" s="230"/>
      <c r="AQ58" s="230"/>
      <c r="AS58" s="230"/>
      <c r="AU58" s="230"/>
      <c r="AW58" s="261"/>
      <c r="AY58" s="261"/>
      <c r="BA58" s="261"/>
      <c r="BC58" s="261"/>
      <c r="BE58" s="261"/>
      <c r="BG58" s="261"/>
      <c r="BI58" s="261"/>
      <c r="BK58" s="261"/>
      <c r="BM58" s="187"/>
      <c r="BO58" s="187"/>
      <c r="BQ58" s="187"/>
      <c r="BS58" s="187"/>
      <c r="BU58" s="201"/>
      <c r="BW58" s="201"/>
      <c r="BY58" s="201"/>
      <c r="CA58" s="201"/>
      <c r="CC58" s="201"/>
      <c r="CE58" s="201"/>
      <c r="CG58" s="201"/>
      <c r="CI58" s="201"/>
      <c r="CK58" s="215"/>
      <c r="CM58" s="215"/>
      <c r="CO58" s="215"/>
      <c r="CQ58" s="215"/>
      <c r="CS58" s="245"/>
      <c r="CU58" s="245"/>
      <c r="CW58" s="245"/>
      <c r="CY58" s="245"/>
      <c r="DA58" s="230"/>
      <c r="DC58" s="230"/>
      <c r="DE58" s="230"/>
      <c r="DG58" s="230"/>
      <c r="DI58" s="230"/>
      <c r="DK58" s="230"/>
      <c r="DM58" s="261"/>
      <c r="DO58" s="261"/>
      <c r="DQ58" s="261"/>
      <c r="DS58" s="261"/>
      <c r="DU58" s="261"/>
      <c r="DW58" s="261"/>
      <c r="DY58" s="187"/>
      <c r="EA58" s="187"/>
      <c r="EC58" s="187"/>
      <c r="EE58" s="187"/>
      <c r="EG58" s="187"/>
      <c r="EI58" s="187"/>
    </row>
    <row r="59" spans="1:139" x14ac:dyDescent="0.2">
      <c r="A59" s="6" t="s">
        <v>89</v>
      </c>
      <c r="B59" s="7" t="s">
        <v>6</v>
      </c>
      <c r="E59" s="187"/>
      <c r="G59" s="187"/>
      <c r="I59" s="201"/>
      <c r="K59" s="201"/>
      <c r="M59" s="201"/>
      <c r="O59" s="201"/>
      <c r="Q59" s="215"/>
      <c r="S59" s="215"/>
      <c r="U59" s="215"/>
      <c r="W59" s="215"/>
      <c r="Y59" s="245"/>
      <c r="AA59" s="245"/>
      <c r="AC59" s="245"/>
      <c r="AE59" s="245"/>
      <c r="AG59" s="245"/>
      <c r="AI59" s="245"/>
      <c r="AK59" s="230"/>
      <c r="AM59" s="230"/>
      <c r="AO59" s="230"/>
      <c r="AQ59" s="230"/>
      <c r="AS59" s="230"/>
      <c r="AU59" s="230"/>
      <c r="AW59" s="261"/>
      <c r="AY59" s="261"/>
      <c r="BA59" s="261"/>
      <c r="BC59" s="261"/>
      <c r="BE59" s="261"/>
      <c r="BG59" s="261"/>
      <c r="BI59" s="261"/>
      <c r="BK59" s="261"/>
      <c r="BM59" s="187"/>
      <c r="BO59" s="187"/>
      <c r="BQ59" s="187"/>
      <c r="BS59" s="187"/>
      <c r="BU59" s="201"/>
      <c r="BW59" s="201"/>
      <c r="BY59" s="201"/>
      <c r="CA59" s="201"/>
      <c r="CC59" s="201"/>
      <c r="CE59" s="201"/>
      <c r="CG59" s="201"/>
      <c r="CI59" s="201"/>
      <c r="CK59" s="215"/>
      <c r="CM59" s="215"/>
      <c r="CO59" s="215"/>
      <c r="CQ59" s="215"/>
      <c r="CS59" s="245"/>
      <c r="CU59" s="245"/>
      <c r="CW59" s="245"/>
      <c r="CY59" s="245"/>
      <c r="DA59" s="230"/>
      <c r="DC59" s="230"/>
      <c r="DE59" s="230"/>
      <c r="DG59" s="230"/>
      <c r="DI59" s="230"/>
      <c r="DK59" s="230"/>
      <c r="DM59" s="261"/>
      <c r="DO59" s="261"/>
      <c r="DQ59" s="261"/>
      <c r="DS59" s="261"/>
      <c r="DU59" s="261"/>
      <c r="DW59" s="261"/>
      <c r="DY59" s="187"/>
      <c r="EA59" s="187"/>
      <c r="EC59" s="187"/>
      <c r="EE59" s="187"/>
      <c r="EG59" s="187"/>
      <c r="EI59" s="187"/>
    </row>
    <row r="60" spans="1:139" outlineLevel="1" x14ac:dyDescent="0.2">
      <c r="A60"/>
      <c r="B60" s="9" t="s">
        <v>55</v>
      </c>
      <c r="C60" s="8">
        <f>1883.05224610559+89.9477538944136</f>
        <v>1973.0000000000036</v>
      </c>
      <c r="D60" s="188">
        <f>967.527394309411+37.4726056905894</f>
        <v>1005.0000000000003</v>
      </c>
      <c r="E60" s="189"/>
      <c r="F60" s="188">
        <f>915.674025315765+52.3259746842352</f>
        <v>968.00000000000023</v>
      </c>
      <c r="G60" s="189"/>
      <c r="H60" s="202">
        <f>614.914712703891+25.0852872961091</f>
        <v>640.00000000000011</v>
      </c>
      <c r="I60" s="203"/>
      <c r="J60" s="202">
        <f>571.592789928119+29.4072100718807</f>
        <v>600.99999999999977</v>
      </c>
      <c r="K60" s="203"/>
      <c r="L60" s="202">
        <f>352.928444129701+12.0715558702993</f>
        <v>365.00000000000028</v>
      </c>
      <c r="M60" s="203"/>
      <c r="N60" s="202">
        <f>344.344915978557+22.6550840214431</f>
        <v>367.00000000000011</v>
      </c>
      <c r="O60" s="203"/>
      <c r="P60" s="216">
        <f>666.134795233083+26.8652047669171</f>
        <v>693.00000000000011</v>
      </c>
      <c r="Q60" s="217"/>
      <c r="R60" s="216">
        <f>628.589973530577+34.410026469423</f>
        <v>663</v>
      </c>
      <c r="S60" s="217"/>
      <c r="T60" s="216">
        <f>301.732918900987+10.2670810990132</f>
        <v>312.00000000000017</v>
      </c>
      <c r="U60" s="217"/>
      <c r="V60" s="216">
        <f>287.140440951688+17.8595590483123</f>
        <v>305.00000000000028</v>
      </c>
      <c r="W60" s="217"/>
      <c r="X60" s="246">
        <f>108.171904333963+4.82809566603692</f>
        <v>112.99999999999991</v>
      </c>
      <c r="Y60" s="247"/>
      <c r="Z60" s="246">
        <f>100.435584999034+3.56441500096641</f>
        <v>104.00000000000041</v>
      </c>
      <c r="AA60" s="247"/>
      <c r="AB60" s="246">
        <f>97.1245187341028+1.87548126589725</f>
        <v>99.000000000000043</v>
      </c>
      <c r="AC60" s="247"/>
      <c r="AD60" s="246">
        <f>89.7922517565178+7.20774824348219</f>
        <v>96.999999999999986</v>
      </c>
      <c r="AE60" s="247"/>
      <c r="AF60" s="246">
        <f>83.2058580005259+5.79414199947415</f>
        <v>89.000000000000043</v>
      </c>
      <c r="AG60" s="247"/>
      <c r="AH60" s="246">
        <f>105.139139086837+4.86086091316319</f>
        <v>110.0000000000002</v>
      </c>
      <c r="AI60" s="247"/>
      <c r="AJ60" s="231">
        <f>81.347414494191+3.65258550580896</f>
        <v>84.999999999999957</v>
      </c>
      <c r="AK60" s="232"/>
      <c r="AL60" s="231">
        <f>86.7773955885698+3.22260441143024</f>
        <v>90.000000000000043</v>
      </c>
      <c r="AM60" s="232"/>
      <c r="AN60" s="231">
        <f>91.2486792832434+1.75132071675662</f>
        <v>93.000000000000028</v>
      </c>
      <c r="AO60" s="232"/>
      <c r="AP60" s="231">
        <f>61.5558959595598+3.44410404044016</f>
        <v>64.999999999999957</v>
      </c>
      <c r="AQ60" s="232"/>
      <c r="AR60" s="231">
        <f>72.5600476663241+5.43995233367595</f>
        <v>78.000000000000043</v>
      </c>
      <c r="AS60" s="232"/>
      <c r="AT60" s="231">
        <f>96.2370441283936+4.76295587160638</f>
        <v>100.99999999999999</v>
      </c>
      <c r="AU60" s="232"/>
      <c r="AV60" s="262">
        <f>197.715853616343+7.284146383657</f>
        <v>205</v>
      </c>
      <c r="AW60" s="263"/>
      <c r="AX60" s="262">
        <f>222.310601003113+7.68939899688726</f>
        <v>230.00000000000026</v>
      </c>
      <c r="AY60" s="263"/>
      <c r="AZ60" s="262">
        <f>392.403354729256+13.5966452707435</f>
        <v>405.99999999999955</v>
      </c>
      <c r="BA60" s="263"/>
      <c r="BB60" s="262">
        <f>346.728378469888+22.2716215301122</f>
        <v>369.00000000000023</v>
      </c>
      <c r="BC60" s="263"/>
      <c r="BD60" s="262">
        <f>154.550159416201+5.44984058379873</f>
        <v>159.99999999999974</v>
      </c>
      <c r="BE60" s="263"/>
      <c r="BF60" s="262">
        <f>156.704083884388+5.29591611561236</f>
        <v>162.00000000000037</v>
      </c>
      <c r="BG60" s="263"/>
      <c r="BH60" s="262">
        <f>230.339276084846+3.66072391515439</f>
        <v>234.0000000000004</v>
      </c>
      <c r="BI60" s="263"/>
      <c r="BJ60" s="262">
        <f>200.935318042598+6.06468195740226</f>
        <v>207.00000000000026</v>
      </c>
      <c r="BK60" s="263"/>
      <c r="BL60" s="188">
        <f>467.920890025199+23.0791099748013</f>
        <v>491.00000000000034</v>
      </c>
      <c r="BM60" s="189"/>
      <c r="BN60" s="188">
        <f>455.419752172956+21.5802478270436</f>
        <v>476.9999999999996</v>
      </c>
      <c r="BO60" s="189"/>
      <c r="BP60" s="188">
        <f>499.920187868175+14.0798121318251</f>
        <v>514.00000000000011</v>
      </c>
      <c r="BQ60" s="189"/>
      <c r="BR60" s="188">
        <f>460.279012276745+30.7209877232551</f>
        <v>491.00000000000011</v>
      </c>
      <c r="BS60" s="189"/>
      <c r="BT60" s="202">
        <f>199.012276964019+5.98772303598091</f>
        <v>204.99999999999991</v>
      </c>
      <c r="BU60" s="203"/>
      <c r="BV60" s="202">
        <f>181.014059701763+4.98594029823695</f>
        <v>185.99999999999994</v>
      </c>
      <c r="BW60" s="203"/>
      <c r="BX60" s="202">
        <f>358.107365326749+11.8926346732514</f>
        <v>370.0000000000004</v>
      </c>
      <c r="BY60" s="203"/>
      <c r="BZ60" s="202">
        <f>390.539964767126+7.46003523287402</f>
        <v>398</v>
      </c>
      <c r="CA60" s="203"/>
      <c r="CB60" s="202">
        <f>216.489006579472+5.51099342052765</f>
        <v>221.99999999999966</v>
      </c>
      <c r="CC60" s="203"/>
      <c r="CD60" s="202">
        <f>193.528998687179+8.47100131282144</f>
        <v>202.00000000000045</v>
      </c>
      <c r="CE60" s="203"/>
      <c r="CF60" s="202">
        <f>196.54096017015+11.45903982985</f>
        <v>208</v>
      </c>
      <c r="CG60" s="203"/>
      <c r="CH60" s="202">
        <f>168.225931261699+13.7740687383015</f>
        <v>182.00000000000051</v>
      </c>
      <c r="CI60" s="203"/>
      <c r="CJ60" s="216">
        <f>434.967758722076+15.0322412779238</f>
        <v>449.99999999999977</v>
      </c>
      <c r="CK60" s="217"/>
      <c r="CL60" s="216">
        <f>461.320453395883+26.6795466041166</f>
        <v>487.9999999999996</v>
      </c>
      <c r="CM60" s="217"/>
      <c r="CN60" s="216">
        <f>499.832494257641+21.1675057423587</f>
        <v>520.99999999999966</v>
      </c>
      <c r="CO60" s="217"/>
      <c r="CP60" s="216">
        <f>419.228434557519+23.7715654424807</f>
        <v>442.99999999999972</v>
      </c>
      <c r="CQ60" s="217"/>
      <c r="CR60" s="246">
        <f>278.600721225599+9.39927877440061</f>
        <v>287.9999999999996</v>
      </c>
      <c r="CS60" s="247"/>
      <c r="CT60" s="246">
        <f>288.303155214841+11.696844785159</f>
        <v>300</v>
      </c>
      <c r="CU60" s="247"/>
      <c r="CV60" s="246">
        <f>687.2765940079+27.7234059920997</f>
        <v>714.99999999999977</v>
      </c>
      <c r="CW60" s="247"/>
      <c r="CX60" s="246">
        <f>623.292717768491+39.7072822315085</f>
        <v>662.99999999999955</v>
      </c>
      <c r="CY60" s="247"/>
      <c r="CZ60" s="231">
        <f>692.423144809988+22.576855190012</f>
        <v>715</v>
      </c>
      <c r="DA60" s="232"/>
      <c r="DB60" s="231">
        <f>663.537743943924+34.4622560560761</f>
        <v>698.00000000000011</v>
      </c>
      <c r="DC60" s="232"/>
      <c r="DD60" s="231">
        <f>144.910200171351+8.08979982864935</f>
        <v>153.00000000000034</v>
      </c>
      <c r="DE60" s="232"/>
      <c r="DF60" s="231">
        <f>147.583017202747+10.4169827972532</f>
        <v>158.0000000000002</v>
      </c>
      <c r="DG60" s="232"/>
      <c r="DH60" s="231">
        <f>137.928914326619+13.0710856733805</f>
        <v>150.99999999999952</v>
      </c>
      <c r="DI60" s="232"/>
      <c r="DJ60" s="231">
        <f>128.919238413463+7.08076158653716</f>
        <v>136.00000000000017</v>
      </c>
      <c r="DK60" s="232"/>
      <c r="DL60" s="262">
        <f>413.862071051737+17.1379289482628</f>
        <v>430.99999999999983</v>
      </c>
      <c r="DM60" s="263"/>
      <c r="DN60" s="262">
        <f>357.90141607247+21.0985839275298</f>
        <v>378.99999999999977</v>
      </c>
      <c r="DO60" s="263"/>
      <c r="DP60" s="262">
        <f>241.873526237823+8.1264737621774</f>
        <v>250.0000000000004</v>
      </c>
      <c r="DQ60" s="263"/>
      <c r="DR60" s="262">
        <f>256.512738009862+13.4872619901379</f>
        <v>269.99999999999989</v>
      </c>
      <c r="DS60" s="263"/>
      <c r="DT60" s="262">
        <f>225.871080498257+9.12891950174273</f>
        <v>234.99999999999972</v>
      </c>
      <c r="DU60" s="263"/>
      <c r="DV60" s="262">
        <f>199.781557066392+11.2184429336075</f>
        <v>210.99999999999949</v>
      </c>
      <c r="DW60" s="263"/>
      <c r="DX60" s="188">
        <f>259.270985115657+12.7290148843434</f>
        <v>272.00000000000045</v>
      </c>
      <c r="DY60" s="189"/>
      <c r="DZ60" s="188">
        <f>303.859853266346+18.1401467336542</f>
        <v>322.00000000000023</v>
      </c>
      <c r="EA60" s="189"/>
      <c r="EB60" s="188">
        <f>517.130870757899+18.8691292421007</f>
        <v>535.99999999999966</v>
      </c>
      <c r="EC60" s="189"/>
      <c r="ED60" s="188">
        <f>405.927020493304+22.0729795066961</f>
        <v>428.00000000000011</v>
      </c>
      <c r="EE60" s="189"/>
      <c r="EF60" s="188">
        <f>191.387221855571+5.61277814442948</f>
        <v>197.00000000000048</v>
      </c>
      <c r="EG60" s="189"/>
      <c r="EH60" s="188">
        <f>206.572842939928+11.4271570600716</f>
        <v>217.9999999999996</v>
      </c>
      <c r="EI60" s="189"/>
    </row>
    <row r="61" spans="1:139" s="18" customFormat="1" outlineLevel="1" x14ac:dyDescent="0.2">
      <c r="A61"/>
      <c r="B61" s="16"/>
      <c r="C61" s="17" t="s">
        <v>167</v>
      </c>
      <c r="D61" s="190" t="s">
        <v>167</v>
      </c>
      <c r="E61" s="191"/>
      <c r="F61" s="190" t="s">
        <v>167</v>
      </c>
      <c r="G61" s="191"/>
      <c r="H61" s="204" t="s">
        <v>167</v>
      </c>
      <c r="I61" s="205"/>
      <c r="J61" s="204" t="s">
        <v>167</v>
      </c>
      <c r="K61" s="205"/>
      <c r="L61" s="204" t="s">
        <v>167</v>
      </c>
      <c r="M61" s="205"/>
      <c r="N61" s="204" t="s">
        <v>167</v>
      </c>
      <c r="O61" s="205"/>
      <c r="P61" s="218" t="s">
        <v>167</v>
      </c>
      <c r="Q61" s="219"/>
      <c r="R61" s="218" t="s">
        <v>167</v>
      </c>
      <c r="S61" s="219"/>
      <c r="T61" s="218" t="s">
        <v>167</v>
      </c>
      <c r="U61" s="219"/>
      <c r="V61" s="218" t="s">
        <v>167</v>
      </c>
      <c r="W61" s="219"/>
      <c r="X61" s="248" t="s">
        <v>167</v>
      </c>
      <c r="Y61" s="249"/>
      <c r="Z61" s="248" t="s">
        <v>167</v>
      </c>
      <c r="AA61" s="249"/>
      <c r="AB61" s="248" t="s">
        <v>167</v>
      </c>
      <c r="AC61" s="249"/>
      <c r="AD61" s="248" t="s">
        <v>167</v>
      </c>
      <c r="AE61" s="249"/>
      <c r="AF61" s="248" t="s">
        <v>167</v>
      </c>
      <c r="AG61" s="249"/>
      <c r="AH61" s="248" t="s">
        <v>167</v>
      </c>
      <c r="AI61" s="249"/>
      <c r="AJ61" s="233" t="s">
        <v>167</v>
      </c>
      <c r="AK61" s="234"/>
      <c r="AL61" s="233" t="s">
        <v>167</v>
      </c>
      <c r="AM61" s="234"/>
      <c r="AN61" s="233" t="s">
        <v>167</v>
      </c>
      <c r="AO61" s="234"/>
      <c r="AP61" s="233" t="s">
        <v>167</v>
      </c>
      <c r="AQ61" s="234"/>
      <c r="AR61" s="233" t="s">
        <v>167</v>
      </c>
      <c r="AS61" s="234"/>
      <c r="AT61" s="233" t="s">
        <v>167</v>
      </c>
      <c r="AU61" s="234"/>
      <c r="AV61" s="264" t="s">
        <v>167</v>
      </c>
      <c r="AW61" s="265"/>
      <c r="AX61" s="264" t="s">
        <v>167</v>
      </c>
      <c r="AY61" s="265"/>
      <c r="AZ61" s="264" t="s">
        <v>167</v>
      </c>
      <c r="BA61" s="265"/>
      <c r="BB61" s="264" t="s">
        <v>167</v>
      </c>
      <c r="BC61" s="265"/>
      <c r="BD61" s="264" t="s">
        <v>167</v>
      </c>
      <c r="BE61" s="265"/>
      <c r="BF61" s="264" t="s">
        <v>167</v>
      </c>
      <c r="BG61" s="265"/>
      <c r="BH61" s="264" t="s">
        <v>167</v>
      </c>
      <c r="BI61" s="265"/>
      <c r="BJ61" s="264" t="s">
        <v>167</v>
      </c>
      <c r="BK61" s="265"/>
      <c r="BL61" s="190" t="s">
        <v>167</v>
      </c>
      <c r="BM61" s="191"/>
      <c r="BN61" s="190" t="s">
        <v>167</v>
      </c>
      <c r="BO61" s="191"/>
      <c r="BP61" s="190" t="s">
        <v>167</v>
      </c>
      <c r="BQ61" s="191"/>
      <c r="BR61" s="190" t="s">
        <v>167</v>
      </c>
      <c r="BS61" s="191"/>
      <c r="BT61" s="204" t="s">
        <v>167</v>
      </c>
      <c r="BU61" s="205"/>
      <c r="BV61" s="204" t="s">
        <v>167</v>
      </c>
      <c r="BW61" s="205"/>
      <c r="BX61" s="204" t="s">
        <v>167</v>
      </c>
      <c r="BY61" s="205"/>
      <c r="BZ61" s="204" t="s">
        <v>167</v>
      </c>
      <c r="CA61" s="205"/>
      <c r="CB61" s="204" t="s">
        <v>167</v>
      </c>
      <c r="CC61" s="205"/>
      <c r="CD61" s="204" t="s">
        <v>167</v>
      </c>
      <c r="CE61" s="205"/>
      <c r="CF61" s="204" t="s">
        <v>167</v>
      </c>
      <c r="CG61" s="205"/>
      <c r="CH61" s="204" t="s">
        <v>167</v>
      </c>
      <c r="CI61" s="205"/>
      <c r="CJ61" s="218" t="s">
        <v>167</v>
      </c>
      <c r="CK61" s="219"/>
      <c r="CL61" s="218" t="s">
        <v>167</v>
      </c>
      <c r="CM61" s="219"/>
      <c r="CN61" s="218" t="s">
        <v>167</v>
      </c>
      <c r="CO61" s="219"/>
      <c r="CP61" s="218" t="s">
        <v>167</v>
      </c>
      <c r="CQ61" s="219"/>
      <c r="CR61" s="248" t="s">
        <v>167</v>
      </c>
      <c r="CS61" s="249"/>
      <c r="CT61" s="248" t="s">
        <v>167</v>
      </c>
      <c r="CU61" s="249"/>
      <c r="CV61" s="248" t="s">
        <v>167</v>
      </c>
      <c r="CW61" s="249"/>
      <c r="CX61" s="248" t="s">
        <v>167</v>
      </c>
      <c r="CY61" s="249"/>
      <c r="CZ61" s="233" t="s">
        <v>167</v>
      </c>
      <c r="DA61" s="234"/>
      <c r="DB61" s="233" t="s">
        <v>167</v>
      </c>
      <c r="DC61" s="234"/>
      <c r="DD61" s="233" t="s">
        <v>167</v>
      </c>
      <c r="DE61" s="234"/>
      <c r="DF61" s="233" t="s">
        <v>167</v>
      </c>
      <c r="DG61" s="234"/>
      <c r="DH61" s="233" t="s">
        <v>167</v>
      </c>
      <c r="DI61" s="234"/>
      <c r="DJ61" s="233" t="s">
        <v>167</v>
      </c>
      <c r="DK61" s="234"/>
      <c r="DL61" s="264" t="s">
        <v>167</v>
      </c>
      <c r="DM61" s="265"/>
      <c r="DN61" s="264" t="s">
        <v>167</v>
      </c>
      <c r="DO61" s="265"/>
      <c r="DP61" s="264" t="s">
        <v>167</v>
      </c>
      <c r="DQ61" s="265"/>
      <c r="DR61" s="264" t="s">
        <v>167</v>
      </c>
      <c r="DS61" s="265"/>
      <c r="DT61" s="264" t="s">
        <v>167</v>
      </c>
      <c r="DU61" s="265"/>
      <c r="DV61" s="264" t="s">
        <v>167</v>
      </c>
      <c r="DW61" s="265"/>
      <c r="DX61" s="190" t="s">
        <v>167</v>
      </c>
      <c r="DY61" s="191"/>
      <c r="DZ61" s="190" t="s">
        <v>167</v>
      </c>
      <c r="EA61" s="191"/>
      <c r="EB61" s="190" t="s">
        <v>167</v>
      </c>
      <c r="EC61" s="191"/>
      <c r="ED61" s="190" t="s">
        <v>167</v>
      </c>
      <c r="EE61" s="191"/>
      <c r="EF61" s="190" t="s">
        <v>167</v>
      </c>
      <c r="EG61" s="191"/>
      <c r="EH61" s="190" t="s">
        <v>167</v>
      </c>
      <c r="EI61" s="191"/>
    </row>
    <row r="62" spans="1:139" outlineLevel="1" x14ac:dyDescent="0.2">
      <c r="A62"/>
      <c r="B62"/>
      <c r="E62" s="187"/>
      <c r="G62" s="187"/>
      <c r="I62" s="201"/>
      <c r="K62" s="201"/>
      <c r="M62" s="201"/>
      <c r="O62" s="201"/>
      <c r="Q62" s="215"/>
      <c r="S62" s="215"/>
      <c r="U62" s="215"/>
      <c r="W62" s="215"/>
      <c r="Y62" s="245"/>
      <c r="AA62" s="245"/>
      <c r="AC62" s="245"/>
      <c r="AE62" s="245"/>
      <c r="AG62" s="245"/>
      <c r="AI62" s="245"/>
      <c r="AK62" s="230"/>
      <c r="AM62" s="230"/>
      <c r="AO62" s="230"/>
      <c r="AQ62" s="230"/>
      <c r="AS62" s="230"/>
      <c r="AU62" s="230"/>
      <c r="AW62" s="261"/>
      <c r="AY62" s="261"/>
      <c r="BA62" s="261"/>
      <c r="BC62" s="261"/>
      <c r="BE62" s="261"/>
      <c r="BG62" s="261"/>
      <c r="BI62" s="261"/>
      <c r="BK62" s="261"/>
      <c r="BM62" s="187"/>
      <c r="BO62" s="187"/>
      <c r="BQ62" s="187"/>
      <c r="BS62" s="187"/>
      <c r="BU62" s="201"/>
      <c r="BW62" s="201"/>
      <c r="BY62" s="201"/>
      <c r="CA62" s="201"/>
      <c r="CC62" s="201"/>
      <c r="CE62" s="201"/>
      <c r="CG62" s="201"/>
      <c r="CI62" s="201"/>
      <c r="CK62" s="215"/>
      <c r="CM62" s="215"/>
      <c r="CO62" s="215"/>
      <c r="CQ62" s="215"/>
      <c r="CS62" s="245"/>
      <c r="CU62" s="245"/>
      <c r="CW62" s="245"/>
      <c r="CY62" s="245"/>
      <c r="DA62" s="230"/>
      <c r="DC62" s="230"/>
      <c r="DE62" s="230"/>
      <c r="DG62" s="230"/>
      <c r="DI62" s="230"/>
      <c r="DK62" s="230"/>
      <c r="DM62" s="261"/>
      <c r="DO62" s="261"/>
      <c r="DQ62" s="261"/>
      <c r="DS62" s="261"/>
      <c r="DU62" s="261"/>
      <c r="DW62" s="261"/>
      <c r="DY62" s="187"/>
      <c r="EA62" s="187"/>
      <c r="EC62" s="187"/>
      <c r="EE62" s="187"/>
      <c r="EG62" s="187"/>
      <c r="EI62" s="187"/>
    </row>
    <row r="63" spans="1:139" outlineLevel="1" x14ac:dyDescent="0.2">
      <c r="A63"/>
      <c r="B63" s="7" t="s">
        <v>81</v>
      </c>
      <c r="C63" s="10">
        <v>60.688731681596316</v>
      </c>
      <c r="D63" s="192">
        <v>59.049170774057629</v>
      </c>
      <c r="E63" s="189"/>
      <c r="F63" s="192">
        <v>62.390568081354665</v>
      </c>
      <c r="G63" s="189"/>
      <c r="H63" s="206">
        <v>58.731622309747323</v>
      </c>
      <c r="I63" s="203"/>
      <c r="J63" s="206">
        <v>65.708098976843047</v>
      </c>
      <c r="K63" s="203" t="s">
        <v>179</v>
      </c>
      <c r="L63" s="206">
        <v>59.582160395826286</v>
      </c>
      <c r="M63" s="203"/>
      <c r="N63" s="206">
        <v>57.072460586435419</v>
      </c>
      <c r="O63" s="203"/>
      <c r="P63" s="220">
        <v>60.472795593645863</v>
      </c>
      <c r="Q63" s="217"/>
      <c r="R63" s="220">
        <v>67.686804893353155</v>
      </c>
      <c r="S63" s="217" t="s">
        <v>183</v>
      </c>
      <c r="T63" s="220">
        <v>56.030042605577329</v>
      </c>
      <c r="U63" s="217"/>
      <c r="V63" s="220">
        <v>50.990237544011478</v>
      </c>
      <c r="W63" s="217"/>
      <c r="X63" s="250">
        <v>77.264599197331222</v>
      </c>
      <c r="Y63" s="247"/>
      <c r="Z63" s="250">
        <v>65.841132052352251</v>
      </c>
      <c r="AA63" s="247"/>
      <c r="AB63" s="250">
        <v>39.573694191335008</v>
      </c>
      <c r="AC63" s="247"/>
      <c r="AD63" s="250">
        <v>75.069647889818199</v>
      </c>
      <c r="AE63" s="247"/>
      <c r="AF63" s="250">
        <v>52.304255579583014</v>
      </c>
      <c r="AG63" s="247"/>
      <c r="AH63" s="250">
        <v>41.946295347115438</v>
      </c>
      <c r="AI63" s="247"/>
      <c r="AJ63" s="235">
        <v>74.728125557841736</v>
      </c>
      <c r="AK63" s="232"/>
      <c r="AL63" s="235">
        <v>62.835590847462122</v>
      </c>
      <c r="AM63" s="232"/>
      <c r="AN63" s="235">
        <v>38.829912739892215</v>
      </c>
      <c r="AO63" s="232"/>
      <c r="AP63" s="235">
        <v>64.01638617350487</v>
      </c>
      <c r="AQ63" s="232"/>
      <c r="AR63" s="235">
        <v>51.940545323179521</v>
      </c>
      <c r="AS63" s="232"/>
      <c r="AT63" s="235">
        <v>37.729119027715925</v>
      </c>
      <c r="AU63" s="232"/>
      <c r="AV63" s="266">
        <v>66.278271463616377</v>
      </c>
      <c r="AW63" s="263"/>
      <c r="AX63" s="266">
        <v>61.719069934577746</v>
      </c>
      <c r="AY63" s="263"/>
      <c r="AZ63" s="266">
        <v>63.547563343017259</v>
      </c>
      <c r="BA63" s="263"/>
      <c r="BB63" s="266">
        <v>71.86137134050864</v>
      </c>
      <c r="BC63" s="263" t="s">
        <v>173</v>
      </c>
      <c r="BD63" s="266">
        <v>61.155507429945935</v>
      </c>
      <c r="BE63" s="263"/>
      <c r="BF63" s="266">
        <v>61.135427276314218</v>
      </c>
      <c r="BG63" s="263"/>
      <c r="BH63" s="266">
        <v>40.212897004573485</v>
      </c>
      <c r="BI63" s="263"/>
      <c r="BJ63" s="266">
        <v>43.206054200628209</v>
      </c>
      <c r="BK63" s="263"/>
      <c r="BL63" s="192">
        <v>57.810785967472533</v>
      </c>
      <c r="BM63" s="189"/>
      <c r="BN63" s="192">
        <v>58.929496444574852</v>
      </c>
      <c r="BO63" s="189"/>
      <c r="BP63" s="192">
        <v>60.25079315908048</v>
      </c>
      <c r="BQ63" s="189"/>
      <c r="BR63" s="192">
        <v>65.779682840807595</v>
      </c>
      <c r="BS63" s="189"/>
      <c r="BT63" s="206">
        <v>57.201625293645385</v>
      </c>
      <c r="BU63" s="203"/>
      <c r="BV63" s="206">
        <v>62.22276894419079</v>
      </c>
      <c r="BW63" s="203"/>
      <c r="BX63" s="206">
        <v>60.155007576519438</v>
      </c>
      <c r="BY63" s="203"/>
      <c r="BZ63" s="206">
        <v>63.45432814412446</v>
      </c>
      <c r="CA63" s="203"/>
      <c r="CB63" s="206">
        <v>54.122729016637727</v>
      </c>
      <c r="CC63" s="203"/>
      <c r="CD63" s="206">
        <v>62.992449324945731</v>
      </c>
      <c r="CE63" s="203"/>
      <c r="CF63" s="206">
        <v>63.907780610199929</v>
      </c>
      <c r="CG63" s="203"/>
      <c r="CH63" s="206">
        <v>60.167745089705299</v>
      </c>
      <c r="CI63" s="203"/>
      <c r="CJ63" s="220">
        <v>60.77096088966637</v>
      </c>
      <c r="CK63" s="217"/>
      <c r="CL63" s="220">
        <v>59.915075576896342</v>
      </c>
      <c r="CM63" s="217"/>
      <c r="CN63" s="220">
        <v>57.102243198343217</v>
      </c>
      <c r="CO63" s="217"/>
      <c r="CP63" s="220">
        <v>66.159823155392758</v>
      </c>
      <c r="CQ63" s="217" t="s">
        <v>217</v>
      </c>
      <c r="CR63" s="250">
        <v>58.664418231016114</v>
      </c>
      <c r="CS63" s="247"/>
      <c r="CT63" s="250">
        <v>58.854358669303039</v>
      </c>
      <c r="CU63" s="247"/>
      <c r="CV63" s="250">
        <v>59.261929644413144</v>
      </c>
      <c r="CW63" s="247"/>
      <c r="CX63" s="250">
        <v>64.249411564227358</v>
      </c>
      <c r="CY63" s="247"/>
      <c r="CZ63" s="235">
        <v>53.581342874107946</v>
      </c>
      <c r="DA63" s="232"/>
      <c r="DB63" s="235">
        <v>59.018327808548854</v>
      </c>
      <c r="DC63" s="232" t="s">
        <v>222</v>
      </c>
      <c r="DD63" s="235">
        <v>72.966403791430238</v>
      </c>
      <c r="DE63" s="232"/>
      <c r="DF63" s="235">
        <v>71.264631458928562</v>
      </c>
      <c r="DG63" s="232"/>
      <c r="DH63" s="235">
        <v>70.786480899140074</v>
      </c>
      <c r="DI63" s="232"/>
      <c r="DJ63" s="235">
        <v>68.585588807965365</v>
      </c>
      <c r="DK63" s="232"/>
      <c r="DL63" s="266">
        <v>67.360323465077798</v>
      </c>
      <c r="DM63" s="263"/>
      <c r="DN63" s="266">
        <v>73.737059253994033</v>
      </c>
      <c r="DO63" s="263"/>
      <c r="DP63" s="266">
        <v>47.120663983198305</v>
      </c>
      <c r="DQ63" s="263"/>
      <c r="DR63" s="266">
        <v>49.144949152330547</v>
      </c>
      <c r="DS63" s="263"/>
      <c r="DT63" s="266">
        <v>57.956536134474931</v>
      </c>
      <c r="DU63" s="263"/>
      <c r="DV63" s="266">
        <v>57.349731686651097</v>
      </c>
      <c r="DW63" s="263"/>
      <c r="DX63" s="192">
        <v>67.050610689874134</v>
      </c>
      <c r="DY63" s="189"/>
      <c r="DZ63" s="192">
        <v>73.088968030341846</v>
      </c>
      <c r="EA63" s="189"/>
      <c r="EB63" s="192">
        <v>57.949772220075438</v>
      </c>
      <c r="EC63" s="189"/>
      <c r="ED63" s="192">
        <v>60.811383108667783</v>
      </c>
      <c r="EE63" s="189"/>
      <c r="EF63" s="192">
        <v>51.137274355017958</v>
      </c>
      <c r="EG63" s="189"/>
      <c r="EH63" s="192">
        <v>48.826987161456714</v>
      </c>
      <c r="EI63" s="189"/>
    </row>
    <row r="64" spans="1:139" outlineLevel="1" x14ac:dyDescent="0.2">
      <c r="A64"/>
      <c r="B64" s="11" t="s">
        <v>82</v>
      </c>
      <c r="C64" s="12">
        <v>27.786517998368151</v>
      </c>
      <c r="D64" s="193">
        <v>26.839946783772969</v>
      </c>
      <c r="E64" s="189"/>
      <c r="F64" s="193">
        <v>28.769042856428992</v>
      </c>
      <c r="G64" s="189"/>
      <c r="H64" s="207">
        <v>27.397647260180168</v>
      </c>
      <c r="I64" s="203"/>
      <c r="J64" s="207">
        <v>31.061170981291198</v>
      </c>
      <c r="K64" s="203"/>
      <c r="L64" s="207">
        <v>25.903873713395917</v>
      </c>
      <c r="M64" s="203"/>
      <c r="N64" s="207">
        <v>25.09468860196759</v>
      </c>
      <c r="O64" s="203"/>
      <c r="P64" s="221">
        <v>28.083841848676773</v>
      </c>
      <c r="Q64" s="217"/>
      <c r="R64" s="221">
        <v>33.704288477596009</v>
      </c>
      <c r="S64" s="217" t="s">
        <v>183</v>
      </c>
      <c r="T64" s="221">
        <v>24.201977441421292</v>
      </c>
      <c r="U64" s="217"/>
      <c r="V64" s="221">
        <v>18.145758180635013</v>
      </c>
      <c r="W64" s="217"/>
      <c r="X64" s="251">
        <v>39.746759879429895</v>
      </c>
      <c r="Y64" s="247"/>
      <c r="Z64" s="251">
        <v>28.524548733697358</v>
      </c>
      <c r="AA64" s="247" t="s">
        <v>190</v>
      </c>
      <c r="AB64" s="251">
        <v>13.499815085847381</v>
      </c>
      <c r="AC64" s="247"/>
      <c r="AD64" s="251">
        <v>44.772588128741077</v>
      </c>
      <c r="AE64" s="247"/>
      <c r="AF64" s="251">
        <v>14.218019684378982</v>
      </c>
      <c r="AG64" s="247"/>
      <c r="AH64" s="251">
        <v>18.743948972037131</v>
      </c>
      <c r="AI64" s="247"/>
      <c r="AJ64" s="236">
        <v>38.282857464979287</v>
      </c>
      <c r="AK64" s="232"/>
      <c r="AL64" s="236">
        <v>27.793701336842897</v>
      </c>
      <c r="AM64" s="232" t="s">
        <v>196</v>
      </c>
      <c r="AN64" s="236">
        <v>14.329429353556909</v>
      </c>
      <c r="AO64" s="232"/>
      <c r="AP64" s="236">
        <v>31.045513172572917</v>
      </c>
      <c r="AQ64" s="232"/>
      <c r="AR64" s="236">
        <v>12.491998913011281</v>
      </c>
      <c r="AS64" s="232"/>
      <c r="AT64" s="236">
        <v>14.536213180020727</v>
      </c>
      <c r="AU64" s="232"/>
      <c r="AV64" s="267">
        <v>25.477146196490477</v>
      </c>
      <c r="AW64" s="263"/>
      <c r="AX64" s="267">
        <v>23.612650181845289</v>
      </c>
      <c r="AY64" s="263"/>
      <c r="AZ64" s="267">
        <v>30.402309400402146</v>
      </c>
      <c r="BA64" s="263"/>
      <c r="BB64" s="267">
        <v>37.199903656598089</v>
      </c>
      <c r="BC64" s="263"/>
      <c r="BD64" s="267">
        <v>28.698690619368605</v>
      </c>
      <c r="BE64" s="263"/>
      <c r="BF64" s="267">
        <v>26.870738936144832</v>
      </c>
      <c r="BG64" s="263"/>
      <c r="BH64" s="267">
        <v>19.319554829813413</v>
      </c>
      <c r="BI64" s="263"/>
      <c r="BJ64" s="267">
        <v>17.576948580649088</v>
      </c>
      <c r="BK64" s="263"/>
      <c r="BL64" s="193">
        <v>25.191992266893639</v>
      </c>
      <c r="BM64" s="189"/>
      <c r="BN64" s="193">
        <v>29.623336527473331</v>
      </c>
      <c r="BO64" s="189"/>
      <c r="BP64" s="193">
        <v>28.438980481902927</v>
      </c>
      <c r="BQ64" s="189"/>
      <c r="BR64" s="193">
        <v>27.932510246506656</v>
      </c>
      <c r="BS64" s="189"/>
      <c r="BT64" s="207">
        <v>22.902698593888633</v>
      </c>
      <c r="BU64" s="203"/>
      <c r="BV64" s="207">
        <v>29.696631545881992</v>
      </c>
      <c r="BW64" s="203"/>
      <c r="BX64" s="207">
        <v>26.587162927269389</v>
      </c>
      <c r="BY64" s="203"/>
      <c r="BZ64" s="207">
        <v>30.560068924697834</v>
      </c>
      <c r="CA64" s="203"/>
      <c r="CB64" s="207">
        <v>23.828363065882076</v>
      </c>
      <c r="CC64" s="203"/>
      <c r="CD64" s="207">
        <v>25.479343707464221</v>
      </c>
      <c r="CE64" s="203"/>
      <c r="CF64" s="207">
        <v>33.77642798738465</v>
      </c>
      <c r="CG64" s="203"/>
      <c r="CH64" s="207">
        <v>28.462347883759875</v>
      </c>
      <c r="CI64" s="203"/>
      <c r="CJ64" s="221">
        <v>27.64897279043824</v>
      </c>
      <c r="CK64" s="217"/>
      <c r="CL64" s="221">
        <v>26.383259388947891</v>
      </c>
      <c r="CM64" s="217"/>
      <c r="CN64" s="221">
        <v>25.67371106725076</v>
      </c>
      <c r="CO64" s="217"/>
      <c r="CP64" s="221">
        <v>32.498794477882768</v>
      </c>
      <c r="CQ64" s="217" t="s">
        <v>217</v>
      </c>
      <c r="CR64" s="251">
        <v>27.168616528475358</v>
      </c>
      <c r="CS64" s="247"/>
      <c r="CT64" s="251">
        <v>25.700355798339981</v>
      </c>
      <c r="CU64" s="247"/>
      <c r="CV64" s="251">
        <v>26.777084682685214</v>
      </c>
      <c r="CW64" s="247"/>
      <c r="CX64" s="251">
        <v>30.17589931396072</v>
      </c>
      <c r="CY64" s="247"/>
      <c r="CZ64" s="236">
        <v>22.854488445012194</v>
      </c>
      <c r="DA64" s="232"/>
      <c r="DB64" s="236">
        <v>24.95953452888152</v>
      </c>
      <c r="DC64" s="232"/>
      <c r="DD64" s="236">
        <v>41.24776133713663</v>
      </c>
      <c r="DE64" s="232"/>
      <c r="DF64" s="236">
        <v>37.165289228645825</v>
      </c>
      <c r="DG64" s="232"/>
      <c r="DH64" s="236">
        <v>34.644079276751967</v>
      </c>
      <c r="DI64" s="232"/>
      <c r="DJ64" s="236">
        <v>38.166082356428781</v>
      </c>
      <c r="DK64" s="232"/>
      <c r="DL64" s="267">
        <v>34.351808686229795</v>
      </c>
      <c r="DM64" s="263"/>
      <c r="DN64" s="267">
        <v>42.251709476809609</v>
      </c>
      <c r="DO64" s="263" t="s">
        <v>228</v>
      </c>
      <c r="DP64" s="267">
        <v>20.910230403930175</v>
      </c>
      <c r="DQ64" s="263"/>
      <c r="DR64" s="267">
        <v>20.843385116370257</v>
      </c>
      <c r="DS64" s="263"/>
      <c r="DT64" s="267">
        <v>22.22562138504458</v>
      </c>
      <c r="DU64" s="263"/>
      <c r="DV64" s="267">
        <v>17.135614276600748</v>
      </c>
      <c r="DW64" s="263"/>
      <c r="DX64" s="193">
        <v>33.865722929817352</v>
      </c>
      <c r="DY64" s="189"/>
      <c r="DZ64" s="193">
        <v>41.771691292022474</v>
      </c>
      <c r="EA64" s="189"/>
      <c r="EB64" s="193">
        <v>27.254511687015214</v>
      </c>
      <c r="EC64" s="189"/>
      <c r="ED64" s="193">
        <v>23.119433669520664</v>
      </c>
      <c r="EE64" s="189"/>
      <c r="EF64" s="193">
        <v>16.296094312445948</v>
      </c>
      <c r="EG64" s="189"/>
      <c r="EH64" s="193">
        <v>19.611744907250699</v>
      </c>
      <c r="EI64" s="189"/>
    </row>
    <row r="65" spans="1:139" outlineLevel="1" x14ac:dyDescent="0.2">
      <c r="A65"/>
      <c r="B65" s="11" t="s">
        <v>83</v>
      </c>
      <c r="C65" s="12">
        <v>32.902213683228162</v>
      </c>
      <c r="D65" s="193">
        <v>32.209223990284656</v>
      </c>
      <c r="E65" s="189"/>
      <c r="F65" s="193">
        <v>33.621525224925669</v>
      </c>
      <c r="G65" s="189"/>
      <c r="H65" s="207">
        <v>31.333975049567151</v>
      </c>
      <c r="I65" s="203"/>
      <c r="J65" s="207">
        <v>34.646927995551849</v>
      </c>
      <c r="K65" s="203"/>
      <c r="L65" s="207">
        <v>33.678286682430368</v>
      </c>
      <c r="M65" s="203"/>
      <c r="N65" s="207">
        <v>31.977771984467832</v>
      </c>
      <c r="O65" s="203"/>
      <c r="P65" s="221">
        <v>32.388953744969086</v>
      </c>
      <c r="Q65" s="217"/>
      <c r="R65" s="221">
        <v>33.982516415757154</v>
      </c>
      <c r="S65" s="217"/>
      <c r="T65" s="221">
        <v>31.828065164156037</v>
      </c>
      <c r="U65" s="217"/>
      <c r="V65" s="221">
        <v>32.844479363376465</v>
      </c>
      <c r="W65" s="217"/>
      <c r="X65" s="251">
        <v>37.517839317901334</v>
      </c>
      <c r="Y65" s="247"/>
      <c r="Z65" s="251">
        <v>37.316583318654892</v>
      </c>
      <c r="AA65" s="247"/>
      <c r="AB65" s="251">
        <v>26.073879105487624</v>
      </c>
      <c r="AC65" s="247"/>
      <c r="AD65" s="251">
        <v>30.297059761077126</v>
      </c>
      <c r="AE65" s="247"/>
      <c r="AF65" s="251">
        <v>38.086235895204027</v>
      </c>
      <c r="AG65" s="247"/>
      <c r="AH65" s="251">
        <v>23.202346375078307</v>
      </c>
      <c r="AI65" s="247"/>
      <c r="AJ65" s="236">
        <v>36.445268092862449</v>
      </c>
      <c r="AK65" s="232"/>
      <c r="AL65" s="236">
        <v>35.041889510619221</v>
      </c>
      <c r="AM65" s="232"/>
      <c r="AN65" s="236">
        <v>24.500483386335304</v>
      </c>
      <c r="AO65" s="232"/>
      <c r="AP65" s="236">
        <v>32.970873000931952</v>
      </c>
      <c r="AQ65" s="232"/>
      <c r="AR65" s="236">
        <v>39.448546410168241</v>
      </c>
      <c r="AS65" s="232"/>
      <c r="AT65" s="236">
        <v>23.192905847695197</v>
      </c>
      <c r="AU65" s="232"/>
      <c r="AV65" s="267">
        <v>40.801125267125904</v>
      </c>
      <c r="AW65" s="263"/>
      <c r="AX65" s="267">
        <v>38.106419752732457</v>
      </c>
      <c r="AY65" s="263"/>
      <c r="AZ65" s="267">
        <v>33.145253942615113</v>
      </c>
      <c r="BA65" s="263"/>
      <c r="BB65" s="267">
        <v>34.661467683910551</v>
      </c>
      <c r="BC65" s="263"/>
      <c r="BD65" s="267">
        <v>32.456816810577337</v>
      </c>
      <c r="BE65" s="263"/>
      <c r="BF65" s="267">
        <v>34.264688340169386</v>
      </c>
      <c r="BG65" s="263"/>
      <c r="BH65" s="267">
        <v>20.893342174760072</v>
      </c>
      <c r="BI65" s="263"/>
      <c r="BJ65" s="267">
        <v>25.629105619979125</v>
      </c>
      <c r="BK65" s="263"/>
      <c r="BL65" s="193">
        <v>32.618793700578891</v>
      </c>
      <c r="BM65" s="189"/>
      <c r="BN65" s="193">
        <v>29.306159917101517</v>
      </c>
      <c r="BO65" s="189"/>
      <c r="BP65" s="193">
        <v>31.811812677177553</v>
      </c>
      <c r="BQ65" s="189"/>
      <c r="BR65" s="193">
        <v>37.847172594300936</v>
      </c>
      <c r="BS65" s="189" t="s">
        <v>200</v>
      </c>
      <c r="BT65" s="207">
        <v>34.298926699756748</v>
      </c>
      <c r="BU65" s="203"/>
      <c r="BV65" s="207">
        <v>32.526137398308798</v>
      </c>
      <c r="BW65" s="203"/>
      <c r="BX65" s="207">
        <v>33.567844649250048</v>
      </c>
      <c r="BY65" s="203"/>
      <c r="BZ65" s="207">
        <v>32.89425921942663</v>
      </c>
      <c r="CA65" s="203"/>
      <c r="CB65" s="207">
        <v>30.294365950755651</v>
      </c>
      <c r="CC65" s="203"/>
      <c r="CD65" s="207">
        <v>37.513105617481514</v>
      </c>
      <c r="CE65" s="203"/>
      <c r="CF65" s="207">
        <v>30.131352622815275</v>
      </c>
      <c r="CG65" s="203"/>
      <c r="CH65" s="207">
        <v>31.705397205945424</v>
      </c>
      <c r="CI65" s="203"/>
      <c r="CJ65" s="221">
        <v>33.121988099228133</v>
      </c>
      <c r="CK65" s="217"/>
      <c r="CL65" s="221">
        <v>33.531816187948451</v>
      </c>
      <c r="CM65" s="217"/>
      <c r="CN65" s="221">
        <v>31.42853213109246</v>
      </c>
      <c r="CO65" s="217"/>
      <c r="CP65" s="221">
        <v>33.661028677509989</v>
      </c>
      <c r="CQ65" s="217"/>
      <c r="CR65" s="251">
        <v>31.495801702540756</v>
      </c>
      <c r="CS65" s="247"/>
      <c r="CT65" s="251">
        <v>33.154002870963062</v>
      </c>
      <c r="CU65" s="247"/>
      <c r="CV65" s="251">
        <v>32.48484496172793</v>
      </c>
      <c r="CW65" s="247"/>
      <c r="CX65" s="251">
        <v>34.073512250266639</v>
      </c>
      <c r="CY65" s="247"/>
      <c r="CZ65" s="236">
        <v>30.726854429095752</v>
      </c>
      <c r="DA65" s="232"/>
      <c r="DB65" s="236">
        <v>34.058793279667334</v>
      </c>
      <c r="DC65" s="232"/>
      <c r="DD65" s="236">
        <v>31.718642454293608</v>
      </c>
      <c r="DE65" s="232"/>
      <c r="DF65" s="236">
        <v>34.099342230282744</v>
      </c>
      <c r="DG65" s="232"/>
      <c r="DH65" s="236">
        <v>36.1424016223881</v>
      </c>
      <c r="DI65" s="232"/>
      <c r="DJ65" s="236">
        <v>30.419506451536581</v>
      </c>
      <c r="DK65" s="232"/>
      <c r="DL65" s="267">
        <v>33.00851477884801</v>
      </c>
      <c r="DM65" s="263"/>
      <c r="DN65" s="267">
        <v>31.485349777184421</v>
      </c>
      <c r="DO65" s="263"/>
      <c r="DP65" s="267">
        <v>26.210433579268127</v>
      </c>
      <c r="DQ65" s="263"/>
      <c r="DR65" s="267">
        <v>28.30156403596029</v>
      </c>
      <c r="DS65" s="263"/>
      <c r="DT65" s="267">
        <v>35.730914749430355</v>
      </c>
      <c r="DU65" s="263"/>
      <c r="DV65" s="267">
        <v>40.214117410050349</v>
      </c>
      <c r="DW65" s="263"/>
      <c r="DX65" s="193">
        <v>33.184887760056775</v>
      </c>
      <c r="DY65" s="189"/>
      <c r="DZ65" s="193">
        <v>31.317276738319368</v>
      </c>
      <c r="EA65" s="189"/>
      <c r="EB65" s="193">
        <v>30.695260533060228</v>
      </c>
      <c r="EC65" s="189"/>
      <c r="ED65" s="193">
        <v>37.691949439147116</v>
      </c>
      <c r="EE65" s="189" t="s">
        <v>236</v>
      </c>
      <c r="EF65" s="193">
        <v>34.841180042572013</v>
      </c>
      <c r="EG65" s="189"/>
      <c r="EH65" s="193">
        <v>29.215242254206014</v>
      </c>
      <c r="EI65" s="189"/>
    </row>
    <row r="66" spans="1:139" outlineLevel="1" x14ac:dyDescent="0.2">
      <c r="A66"/>
      <c r="B66" s="7"/>
      <c r="E66" s="187"/>
      <c r="G66" s="187"/>
      <c r="I66" s="201"/>
      <c r="K66" s="201"/>
      <c r="M66" s="201"/>
      <c r="O66" s="201"/>
      <c r="Q66" s="215"/>
      <c r="S66" s="215"/>
      <c r="U66" s="215"/>
      <c r="W66" s="215"/>
      <c r="Y66" s="245"/>
      <c r="AA66" s="245"/>
      <c r="AC66" s="245"/>
      <c r="AE66" s="245"/>
      <c r="AG66" s="245"/>
      <c r="AI66" s="245"/>
      <c r="AK66" s="230"/>
      <c r="AM66" s="230"/>
      <c r="AO66" s="230"/>
      <c r="AQ66" s="230"/>
      <c r="AS66" s="230"/>
      <c r="AU66" s="230"/>
      <c r="AW66" s="261"/>
      <c r="AY66" s="261"/>
      <c r="BA66" s="261"/>
      <c r="BC66" s="261"/>
      <c r="BE66" s="261"/>
      <c r="BG66" s="261"/>
      <c r="BI66" s="261"/>
      <c r="BK66" s="261"/>
      <c r="BM66" s="187"/>
      <c r="BO66" s="187"/>
      <c r="BQ66" s="187"/>
      <c r="BS66" s="187"/>
      <c r="BU66" s="201"/>
      <c r="BW66" s="201"/>
      <c r="BY66" s="201"/>
      <c r="CA66" s="201"/>
      <c r="CC66" s="201"/>
      <c r="CE66" s="201"/>
      <c r="CG66" s="201"/>
      <c r="CI66" s="201"/>
      <c r="CK66" s="215"/>
      <c r="CM66" s="215"/>
      <c r="CO66" s="215"/>
      <c r="CQ66" s="215"/>
      <c r="CS66" s="245"/>
      <c r="CU66" s="245"/>
      <c r="CW66" s="245"/>
      <c r="CY66" s="245"/>
      <c r="DA66" s="230"/>
      <c r="DC66" s="230"/>
      <c r="DE66" s="230"/>
      <c r="DG66" s="230"/>
      <c r="DI66" s="230"/>
      <c r="DK66" s="230"/>
      <c r="DM66" s="261"/>
      <c r="DO66" s="261"/>
      <c r="DQ66" s="261"/>
      <c r="DS66" s="261"/>
      <c r="DU66" s="261"/>
      <c r="DW66" s="261"/>
      <c r="DY66" s="187"/>
      <c r="EA66" s="187"/>
      <c r="EC66" s="187"/>
      <c r="EE66" s="187"/>
      <c r="EG66" s="187"/>
      <c r="EI66" s="187"/>
    </row>
    <row r="67" spans="1:139" outlineLevel="1" x14ac:dyDescent="0.2">
      <c r="A67"/>
      <c r="B67" s="7" t="s">
        <v>84</v>
      </c>
      <c r="C67" s="10">
        <v>39.311268318403684</v>
      </c>
      <c r="D67" s="192">
        <v>40.950829225942371</v>
      </c>
      <c r="E67" s="189"/>
      <c r="F67" s="192">
        <v>37.609431918645335</v>
      </c>
      <c r="G67" s="189"/>
      <c r="H67" s="206">
        <v>41.268377690252684</v>
      </c>
      <c r="I67" s="203" t="s">
        <v>180</v>
      </c>
      <c r="J67" s="206">
        <v>34.291901023156953</v>
      </c>
      <c r="K67" s="203"/>
      <c r="L67" s="206">
        <v>40.417839604173722</v>
      </c>
      <c r="M67" s="203"/>
      <c r="N67" s="206">
        <v>42.927539413564581</v>
      </c>
      <c r="O67" s="203"/>
      <c r="P67" s="220">
        <v>39.527204406354137</v>
      </c>
      <c r="Q67" s="217" t="s">
        <v>184</v>
      </c>
      <c r="R67" s="220">
        <v>32.313195106646837</v>
      </c>
      <c r="S67" s="217"/>
      <c r="T67" s="220">
        <v>43.969957394422671</v>
      </c>
      <c r="U67" s="217"/>
      <c r="V67" s="220">
        <v>49.009762455988515</v>
      </c>
      <c r="W67" s="217"/>
      <c r="X67" s="250">
        <v>22.735400802668771</v>
      </c>
      <c r="Y67" s="247"/>
      <c r="Z67" s="250">
        <v>34.158867947647749</v>
      </c>
      <c r="AA67" s="247"/>
      <c r="AB67" s="250">
        <v>60.426305808665006</v>
      </c>
      <c r="AC67" s="247"/>
      <c r="AD67" s="250">
        <v>24.930352110181797</v>
      </c>
      <c r="AE67" s="247"/>
      <c r="AF67" s="250">
        <v>47.695744420416993</v>
      </c>
      <c r="AG67" s="247"/>
      <c r="AH67" s="250">
        <v>58.053704652884562</v>
      </c>
      <c r="AI67" s="247"/>
      <c r="AJ67" s="235">
        <v>25.271874442158275</v>
      </c>
      <c r="AK67" s="232"/>
      <c r="AL67" s="235">
        <v>37.164409152537885</v>
      </c>
      <c r="AM67" s="232"/>
      <c r="AN67" s="235">
        <v>61.170087260107785</v>
      </c>
      <c r="AO67" s="232"/>
      <c r="AP67" s="235">
        <v>35.98361382649513</v>
      </c>
      <c r="AQ67" s="232"/>
      <c r="AR67" s="235">
        <v>48.059454676820479</v>
      </c>
      <c r="AS67" s="232"/>
      <c r="AT67" s="235">
        <v>62.270880972284075</v>
      </c>
      <c r="AU67" s="232"/>
      <c r="AV67" s="266">
        <v>33.721728536383623</v>
      </c>
      <c r="AW67" s="263"/>
      <c r="AX67" s="266">
        <v>38.280930065422254</v>
      </c>
      <c r="AY67" s="263"/>
      <c r="AZ67" s="266">
        <v>36.452436656982741</v>
      </c>
      <c r="BA67" s="263" t="s">
        <v>174</v>
      </c>
      <c r="BB67" s="266">
        <v>28.138628659491356</v>
      </c>
      <c r="BC67" s="263"/>
      <c r="BD67" s="266">
        <v>38.844492570054058</v>
      </c>
      <c r="BE67" s="263"/>
      <c r="BF67" s="266">
        <v>38.864572723685782</v>
      </c>
      <c r="BG67" s="263"/>
      <c r="BH67" s="266">
        <v>59.787102995426523</v>
      </c>
      <c r="BI67" s="263"/>
      <c r="BJ67" s="266">
        <v>56.793945799371784</v>
      </c>
      <c r="BK67" s="263"/>
      <c r="BL67" s="192">
        <v>42.189214032527474</v>
      </c>
      <c r="BM67" s="189"/>
      <c r="BN67" s="192">
        <v>41.070503555425148</v>
      </c>
      <c r="BO67" s="189"/>
      <c r="BP67" s="192">
        <v>39.749206840919527</v>
      </c>
      <c r="BQ67" s="189"/>
      <c r="BR67" s="192">
        <v>34.220317159192419</v>
      </c>
      <c r="BS67" s="189"/>
      <c r="BT67" s="206">
        <v>42.798374706354622</v>
      </c>
      <c r="BU67" s="203"/>
      <c r="BV67" s="206">
        <v>37.777231055809203</v>
      </c>
      <c r="BW67" s="203"/>
      <c r="BX67" s="206">
        <v>39.844992423480562</v>
      </c>
      <c r="BY67" s="203"/>
      <c r="BZ67" s="206">
        <v>36.545671855875547</v>
      </c>
      <c r="CA67" s="203"/>
      <c r="CB67" s="206">
        <v>45.87727098336228</v>
      </c>
      <c r="CC67" s="203"/>
      <c r="CD67" s="206">
        <v>37.007550675054262</v>
      </c>
      <c r="CE67" s="203"/>
      <c r="CF67" s="206">
        <v>36.092219389800078</v>
      </c>
      <c r="CG67" s="203"/>
      <c r="CH67" s="206">
        <v>39.832254910294701</v>
      </c>
      <c r="CI67" s="203"/>
      <c r="CJ67" s="220">
        <v>39.229039110333623</v>
      </c>
      <c r="CK67" s="217"/>
      <c r="CL67" s="220">
        <v>40.084924423103658</v>
      </c>
      <c r="CM67" s="217"/>
      <c r="CN67" s="220">
        <v>42.897756801656783</v>
      </c>
      <c r="CO67" s="217" t="s">
        <v>218</v>
      </c>
      <c r="CP67" s="220">
        <v>33.840176844607235</v>
      </c>
      <c r="CQ67" s="217"/>
      <c r="CR67" s="250">
        <v>41.335581768983886</v>
      </c>
      <c r="CS67" s="247"/>
      <c r="CT67" s="250">
        <v>41.145641330696968</v>
      </c>
      <c r="CU67" s="247"/>
      <c r="CV67" s="250">
        <v>40.738070355586842</v>
      </c>
      <c r="CW67" s="247"/>
      <c r="CX67" s="250">
        <v>35.750588435772634</v>
      </c>
      <c r="CY67" s="247"/>
      <c r="CZ67" s="235">
        <v>46.418657125892061</v>
      </c>
      <c r="DA67" s="232" t="s">
        <v>223</v>
      </c>
      <c r="DB67" s="235">
        <v>40.981672191451146</v>
      </c>
      <c r="DC67" s="232"/>
      <c r="DD67" s="235">
        <v>27.033596208569755</v>
      </c>
      <c r="DE67" s="232"/>
      <c r="DF67" s="235">
        <v>28.735368541071434</v>
      </c>
      <c r="DG67" s="232"/>
      <c r="DH67" s="235">
        <v>29.213519100859926</v>
      </c>
      <c r="DI67" s="232"/>
      <c r="DJ67" s="235">
        <v>31.414411192034638</v>
      </c>
      <c r="DK67" s="232"/>
      <c r="DL67" s="266">
        <v>32.639676534922195</v>
      </c>
      <c r="DM67" s="263"/>
      <c r="DN67" s="266">
        <v>26.262940746005977</v>
      </c>
      <c r="DO67" s="263"/>
      <c r="DP67" s="266">
        <v>52.879336016801695</v>
      </c>
      <c r="DQ67" s="263"/>
      <c r="DR67" s="266">
        <v>50.855050847669453</v>
      </c>
      <c r="DS67" s="263"/>
      <c r="DT67" s="266">
        <v>42.043463865525069</v>
      </c>
      <c r="DU67" s="263"/>
      <c r="DV67" s="266">
        <v>42.65026831334891</v>
      </c>
      <c r="DW67" s="263"/>
      <c r="DX67" s="192">
        <v>32.949389310125873</v>
      </c>
      <c r="DY67" s="189"/>
      <c r="DZ67" s="192">
        <v>26.911031969658161</v>
      </c>
      <c r="EA67" s="189"/>
      <c r="EB67" s="192">
        <v>42.050227779924562</v>
      </c>
      <c r="EC67" s="189"/>
      <c r="ED67" s="192">
        <v>39.188616891332224</v>
      </c>
      <c r="EE67" s="189"/>
      <c r="EF67" s="192">
        <v>48.862725644982042</v>
      </c>
      <c r="EG67" s="189"/>
      <c r="EH67" s="192">
        <v>51.173012838543279</v>
      </c>
      <c r="EI67" s="189"/>
    </row>
    <row r="68" spans="1:139" outlineLevel="1" x14ac:dyDescent="0.2">
      <c r="A68"/>
      <c r="B68" s="11" t="s">
        <v>85</v>
      </c>
      <c r="C68" s="12">
        <v>22.603760597952135</v>
      </c>
      <c r="D68" s="193">
        <v>23.54438191286112</v>
      </c>
      <c r="E68" s="189"/>
      <c r="F68" s="193">
        <v>21.627411634799692</v>
      </c>
      <c r="G68" s="189"/>
      <c r="H68" s="207">
        <v>25.072201180146301</v>
      </c>
      <c r="I68" s="203"/>
      <c r="J68" s="207">
        <v>20.538085240710991</v>
      </c>
      <c r="K68" s="203"/>
      <c r="L68" s="207">
        <v>20.980011730281866</v>
      </c>
      <c r="M68" s="203"/>
      <c r="N68" s="207">
        <v>23.373636475899069</v>
      </c>
      <c r="O68" s="203"/>
      <c r="P68" s="221">
        <v>24.19918267887811</v>
      </c>
      <c r="Q68" s="217" t="s">
        <v>184</v>
      </c>
      <c r="R68" s="221">
        <v>19.623221935107733</v>
      </c>
      <c r="S68" s="217"/>
      <c r="T68" s="221">
        <v>22.155724304323378</v>
      </c>
      <c r="U68" s="217"/>
      <c r="V68" s="221">
        <v>25.941498381121974</v>
      </c>
      <c r="W68" s="217"/>
      <c r="X68" s="251">
        <v>16.339966238225156</v>
      </c>
      <c r="Y68" s="247"/>
      <c r="Z68" s="251">
        <v>15.834718212242585</v>
      </c>
      <c r="AA68" s="247"/>
      <c r="AB68" s="251">
        <v>34.513243000802611</v>
      </c>
      <c r="AC68" s="247"/>
      <c r="AD68" s="251">
        <v>15.925459301648981</v>
      </c>
      <c r="AE68" s="247"/>
      <c r="AF68" s="251">
        <v>29.706094359895005</v>
      </c>
      <c r="AG68" s="247" t="s">
        <v>109</v>
      </c>
      <c r="AH68" s="251">
        <v>29.688478842758702</v>
      </c>
      <c r="AI68" s="247"/>
      <c r="AJ68" s="236">
        <v>18.927393669494634</v>
      </c>
      <c r="AK68" s="232"/>
      <c r="AL68" s="236">
        <v>16.995835339112922</v>
      </c>
      <c r="AM68" s="232"/>
      <c r="AN68" s="236">
        <v>33.664569556474767</v>
      </c>
      <c r="AO68" s="232"/>
      <c r="AP68" s="236">
        <v>22.138915295058478</v>
      </c>
      <c r="AQ68" s="232"/>
      <c r="AR68" s="236">
        <v>28.717752560669812</v>
      </c>
      <c r="AS68" s="232"/>
      <c r="AT68" s="236">
        <v>31.392161259290564</v>
      </c>
      <c r="AU68" s="232"/>
      <c r="AV68" s="267">
        <v>16.779399420285479</v>
      </c>
      <c r="AW68" s="263"/>
      <c r="AX68" s="267">
        <v>21.363894619090146</v>
      </c>
      <c r="AY68" s="263"/>
      <c r="AZ68" s="267">
        <v>21.604134580832913</v>
      </c>
      <c r="BA68" s="263" t="s">
        <v>174</v>
      </c>
      <c r="BB68" s="267">
        <v>15.852940798265424</v>
      </c>
      <c r="BC68" s="263"/>
      <c r="BD68" s="267">
        <v>26.525712793997972</v>
      </c>
      <c r="BE68" s="263"/>
      <c r="BF68" s="267">
        <v>20.112876818632866</v>
      </c>
      <c r="BG68" s="263"/>
      <c r="BH68" s="267">
        <v>32.616531895145769</v>
      </c>
      <c r="BI68" s="263"/>
      <c r="BJ68" s="267">
        <v>36.004624675650192</v>
      </c>
      <c r="BK68" s="263"/>
      <c r="BL68" s="193">
        <v>21.572368045210709</v>
      </c>
      <c r="BM68" s="189"/>
      <c r="BN68" s="193">
        <v>23.870517789484651</v>
      </c>
      <c r="BO68" s="189"/>
      <c r="BP68" s="193">
        <v>25.45785500647775</v>
      </c>
      <c r="BQ68" s="189" t="s">
        <v>165</v>
      </c>
      <c r="BR68" s="193">
        <v>19.430940433488317</v>
      </c>
      <c r="BS68" s="189"/>
      <c r="BT68" s="207">
        <v>26.466142928519069</v>
      </c>
      <c r="BU68" s="203"/>
      <c r="BV68" s="207">
        <v>26.72055417105539</v>
      </c>
      <c r="BW68" s="203"/>
      <c r="BX68" s="207">
        <v>23.216961176516708</v>
      </c>
      <c r="BY68" s="203"/>
      <c r="BZ68" s="207">
        <v>18.282915812859823</v>
      </c>
      <c r="CA68" s="203"/>
      <c r="CB68" s="207">
        <v>24.129759040642355</v>
      </c>
      <c r="CC68" s="203"/>
      <c r="CD68" s="207">
        <v>20.286116322701687</v>
      </c>
      <c r="CE68" s="203"/>
      <c r="CF68" s="207">
        <v>20.907260696592619</v>
      </c>
      <c r="CG68" s="203"/>
      <c r="CH68" s="207">
        <v>24.047801203242521</v>
      </c>
      <c r="CI68" s="203"/>
      <c r="CJ68" s="221">
        <v>22.578220892796971</v>
      </c>
      <c r="CK68" s="217"/>
      <c r="CL68" s="221">
        <v>21.158695506352405</v>
      </c>
      <c r="CM68" s="217"/>
      <c r="CN68" s="221">
        <v>24.545362553628777</v>
      </c>
      <c r="CO68" s="217"/>
      <c r="CP68" s="221">
        <v>21.615447156495211</v>
      </c>
      <c r="CQ68" s="217"/>
      <c r="CR68" s="251">
        <v>25.559684252580073</v>
      </c>
      <c r="CS68" s="247"/>
      <c r="CT68" s="251">
        <v>22.153019817464841</v>
      </c>
      <c r="CU68" s="247"/>
      <c r="CV68" s="251">
        <v>22.762252187414184</v>
      </c>
      <c r="CW68" s="247"/>
      <c r="CX68" s="251">
        <v>21.296886577578427</v>
      </c>
      <c r="CY68" s="247"/>
      <c r="CZ68" s="236">
        <v>27.794786794902929</v>
      </c>
      <c r="DA68" s="232"/>
      <c r="DB68" s="236">
        <v>23.404481350277173</v>
      </c>
      <c r="DC68" s="232"/>
      <c r="DD68" s="236">
        <v>13.188369568567289</v>
      </c>
      <c r="DE68" s="232"/>
      <c r="DF68" s="236">
        <v>18.224321810416967</v>
      </c>
      <c r="DG68" s="232"/>
      <c r="DH68" s="236">
        <v>14.679692348922774</v>
      </c>
      <c r="DI68" s="232"/>
      <c r="DJ68" s="236">
        <v>16.544005589336837</v>
      </c>
      <c r="DK68" s="232"/>
      <c r="DL68" s="267">
        <v>20.990046003150873</v>
      </c>
      <c r="DM68" s="263"/>
      <c r="DN68" s="267">
        <v>17.043123142657056</v>
      </c>
      <c r="DO68" s="263"/>
      <c r="DP68" s="267">
        <v>30.763256314694392</v>
      </c>
      <c r="DQ68" s="263"/>
      <c r="DR68" s="267">
        <v>27.904374590654683</v>
      </c>
      <c r="DS68" s="263"/>
      <c r="DT68" s="267">
        <v>23.085768688850326</v>
      </c>
      <c r="DU68" s="263"/>
      <c r="DV68" s="267">
        <v>26.519125596718226</v>
      </c>
      <c r="DW68" s="263"/>
      <c r="DX68" s="193">
        <v>17.088185858887684</v>
      </c>
      <c r="DY68" s="189"/>
      <c r="DZ68" s="193">
        <v>15.617644565513118</v>
      </c>
      <c r="EA68" s="189"/>
      <c r="EB68" s="193">
        <v>25.748068184581843</v>
      </c>
      <c r="EC68" s="189"/>
      <c r="ED68" s="193">
        <v>23.628774826649995</v>
      </c>
      <c r="EE68" s="189"/>
      <c r="EF68" s="193">
        <v>26.496623469140829</v>
      </c>
      <c r="EG68" s="189"/>
      <c r="EH68" s="193">
        <v>27.057861641216824</v>
      </c>
      <c r="EI68" s="189"/>
    </row>
    <row r="69" spans="1:139" outlineLevel="1" x14ac:dyDescent="0.2">
      <c r="A69"/>
      <c r="B69" s="11" t="s">
        <v>86</v>
      </c>
      <c r="C69" s="12">
        <v>16.707507720451552</v>
      </c>
      <c r="D69" s="193">
        <v>17.406447313081252</v>
      </c>
      <c r="E69" s="189"/>
      <c r="F69" s="193">
        <v>15.982020283845644</v>
      </c>
      <c r="G69" s="189"/>
      <c r="H69" s="207">
        <v>16.196176510106383</v>
      </c>
      <c r="I69" s="203"/>
      <c r="J69" s="207">
        <v>13.753815782445963</v>
      </c>
      <c r="K69" s="203"/>
      <c r="L69" s="207">
        <v>19.437827873891855</v>
      </c>
      <c r="M69" s="203"/>
      <c r="N69" s="207">
        <v>19.553902937665509</v>
      </c>
      <c r="O69" s="203"/>
      <c r="P69" s="221">
        <v>15.328021727476029</v>
      </c>
      <c r="Q69" s="217"/>
      <c r="R69" s="221">
        <v>12.689973171539103</v>
      </c>
      <c r="S69" s="217"/>
      <c r="T69" s="221">
        <v>21.81423309009929</v>
      </c>
      <c r="U69" s="217"/>
      <c r="V69" s="221">
        <v>23.068264074866544</v>
      </c>
      <c r="W69" s="217"/>
      <c r="X69" s="251">
        <v>6.3954345644436144</v>
      </c>
      <c r="Y69" s="247"/>
      <c r="Z69" s="251">
        <v>18.324149735405165</v>
      </c>
      <c r="AA69" s="247"/>
      <c r="AB69" s="251">
        <v>25.913062807862396</v>
      </c>
      <c r="AC69" s="247"/>
      <c r="AD69" s="251">
        <v>9.0048928085328157</v>
      </c>
      <c r="AE69" s="247"/>
      <c r="AF69" s="251">
        <v>17.989650060521985</v>
      </c>
      <c r="AG69" s="247"/>
      <c r="AH69" s="251">
        <v>28.365225810125864</v>
      </c>
      <c r="AI69" s="247"/>
      <c r="AJ69" s="236">
        <v>6.3444807726636423</v>
      </c>
      <c r="AK69" s="232"/>
      <c r="AL69" s="236">
        <v>20.16857381342496</v>
      </c>
      <c r="AM69" s="232"/>
      <c r="AN69" s="236">
        <v>27.505517703633018</v>
      </c>
      <c r="AO69" s="232"/>
      <c r="AP69" s="236">
        <v>13.844698531436654</v>
      </c>
      <c r="AQ69" s="232"/>
      <c r="AR69" s="236">
        <v>19.341702116150671</v>
      </c>
      <c r="AS69" s="232"/>
      <c r="AT69" s="236">
        <v>30.878719712993512</v>
      </c>
      <c r="AU69" s="232"/>
      <c r="AV69" s="267">
        <v>16.942329116098144</v>
      </c>
      <c r="AW69" s="263"/>
      <c r="AX69" s="267">
        <v>16.917035446332104</v>
      </c>
      <c r="AY69" s="263"/>
      <c r="AZ69" s="267">
        <v>14.848302076149826</v>
      </c>
      <c r="BA69" s="263"/>
      <c r="BB69" s="267">
        <v>12.285687861225934</v>
      </c>
      <c r="BC69" s="263"/>
      <c r="BD69" s="267">
        <v>12.318779776056088</v>
      </c>
      <c r="BE69" s="263"/>
      <c r="BF69" s="267">
        <v>18.751695905052912</v>
      </c>
      <c r="BG69" s="263"/>
      <c r="BH69" s="267">
        <v>27.170571100280757</v>
      </c>
      <c r="BI69" s="263"/>
      <c r="BJ69" s="267">
        <v>20.789321123721589</v>
      </c>
      <c r="BK69" s="263"/>
      <c r="BL69" s="193">
        <v>20.616845987316765</v>
      </c>
      <c r="BM69" s="189"/>
      <c r="BN69" s="193">
        <v>17.199985765940493</v>
      </c>
      <c r="BO69" s="189"/>
      <c r="BP69" s="193">
        <v>14.291351834441775</v>
      </c>
      <c r="BQ69" s="189"/>
      <c r="BR69" s="193">
        <v>14.7893767257041</v>
      </c>
      <c r="BS69" s="189"/>
      <c r="BT69" s="207">
        <v>16.332231777835549</v>
      </c>
      <c r="BU69" s="203"/>
      <c r="BV69" s="207">
        <v>11.056676884753815</v>
      </c>
      <c r="BW69" s="203"/>
      <c r="BX69" s="207">
        <v>16.628031246963854</v>
      </c>
      <c r="BY69" s="203"/>
      <c r="BZ69" s="207">
        <v>18.262756043015727</v>
      </c>
      <c r="CA69" s="203"/>
      <c r="CB69" s="207">
        <v>21.747511942719925</v>
      </c>
      <c r="CC69" s="203"/>
      <c r="CD69" s="207">
        <v>16.721434352352571</v>
      </c>
      <c r="CE69" s="203"/>
      <c r="CF69" s="207">
        <v>15.184958693207456</v>
      </c>
      <c r="CG69" s="203"/>
      <c r="CH69" s="207">
        <v>15.784453707052181</v>
      </c>
      <c r="CI69" s="203"/>
      <c r="CJ69" s="221">
        <v>16.650818217536653</v>
      </c>
      <c r="CK69" s="217"/>
      <c r="CL69" s="221">
        <v>18.926228916751256</v>
      </c>
      <c r="CM69" s="217"/>
      <c r="CN69" s="221">
        <v>18.352394248028006</v>
      </c>
      <c r="CO69" s="217" t="s">
        <v>218</v>
      </c>
      <c r="CP69" s="221">
        <v>12.224729688112024</v>
      </c>
      <c r="CQ69" s="217"/>
      <c r="CR69" s="251">
        <v>15.775897516403813</v>
      </c>
      <c r="CS69" s="247"/>
      <c r="CT69" s="251">
        <v>18.992621513232123</v>
      </c>
      <c r="CU69" s="247"/>
      <c r="CV69" s="251">
        <v>17.975818168172662</v>
      </c>
      <c r="CW69" s="247"/>
      <c r="CX69" s="251">
        <v>14.453701858194204</v>
      </c>
      <c r="CY69" s="247"/>
      <c r="CZ69" s="236">
        <v>18.623870330989135</v>
      </c>
      <c r="DA69" s="232"/>
      <c r="DB69" s="236">
        <v>17.577190841173977</v>
      </c>
      <c r="DC69" s="232"/>
      <c r="DD69" s="236">
        <v>13.845226640002466</v>
      </c>
      <c r="DE69" s="232"/>
      <c r="DF69" s="236">
        <v>10.511046730654469</v>
      </c>
      <c r="DG69" s="232"/>
      <c r="DH69" s="236">
        <v>14.533826751937152</v>
      </c>
      <c r="DI69" s="232"/>
      <c r="DJ69" s="236">
        <v>14.870405602697803</v>
      </c>
      <c r="DK69" s="232"/>
      <c r="DL69" s="267">
        <v>11.649630531771319</v>
      </c>
      <c r="DM69" s="263"/>
      <c r="DN69" s="267">
        <v>9.2198176033489236</v>
      </c>
      <c r="DO69" s="263"/>
      <c r="DP69" s="267">
        <v>22.116079702107303</v>
      </c>
      <c r="DQ69" s="263"/>
      <c r="DR69" s="267">
        <v>22.950676257014766</v>
      </c>
      <c r="DS69" s="263"/>
      <c r="DT69" s="267">
        <v>18.957695176674743</v>
      </c>
      <c r="DU69" s="263"/>
      <c r="DV69" s="267">
        <v>16.131142716630688</v>
      </c>
      <c r="DW69" s="263"/>
      <c r="DX69" s="193">
        <v>15.861203451238188</v>
      </c>
      <c r="DY69" s="189"/>
      <c r="DZ69" s="193">
        <v>11.293387404145042</v>
      </c>
      <c r="EA69" s="189"/>
      <c r="EB69" s="193">
        <v>16.302159595342719</v>
      </c>
      <c r="EC69" s="189"/>
      <c r="ED69" s="193">
        <v>15.559842064682226</v>
      </c>
      <c r="EE69" s="189"/>
      <c r="EF69" s="193">
        <v>22.366102175841213</v>
      </c>
      <c r="EG69" s="189"/>
      <c r="EH69" s="193">
        <v>24.115151197326455</v>
      </c>
      <c r="EI69" s="189"/>
    </row>
    <row r="70" spans="1:139" outlineLevel="1" x14ac:dyDescent="0.2">
      <c r="A70"/>
      <c r="B70"/>
      <c r="E70" s="187"/>
      <c r="G70" s="187"/>
      <c r="I70" s="201"/>
      <c r="K70" s="201"/>
      <c r="M70" s="201"/>
      <c r="O70" s="201"/>
      <c r="Q70" s="215"/>
      <c r="S70" s="215"/>
      <c r="U70" s="215"/>
      <c r="W70" s="215"/>
      <c r="Y70" s="245"/>
      <c r="AA70" s="245"/>
      <c r="AC70" s="245"/>
      <c r="AE70" s="245"/>
      <c r="AG70" s="245"/>
      <c r="AI70" s="245"/>
      <c r="AK70" s="230"/>
      <c r="AM70" s="230"/>
      <c r="AO70" s="230"/>
      <c r="AQ70" s="230"/>
      <c r="AS70" s="230"/>
      <c r="AU70" s="230"/>
      <c r="AW70" s="261"/>
      <c r="AY70" s="261"/>
      <c r="BA70" s="261"/>
      <c r="BC70" s="261"/>
      <c r="BE70" s="261"/>
      <c r="BG70" s="261"/>
      <c r="BI70" s="261"/>
      <c r="BK70" s="261"/>
      <c r="BM70" s="187"/>
      <c r="BO70" s="187"/>
      <c r="BQ70" s="187"/>
      <c r="BS70" s="187"/>
      <c r="BU70" s="201"/>
      <c r="BW70" s="201"/>
      <c r="BY70" s="201"/>
      <c r="CA70" s="201"/>
      <c r="CC70" s="201"/>
      <c r="CE70" s="201"/>
      <c r="CG70" s="201"/>
      <c r="CI70" s="201"/>
      <c r="CK70" s="215"/>
      <c r="CM70" s="215"/>
      <c r="CO70" s="215"/>
      <c r="CQ70" s="215"/>
      <c r="CS70" s="245"/>
      <c r="CU70" s="245"/>
      <c r="CW70" s="245"/>
      <c r="CY70" s="245"/>
      <c r="DA70" s="230"/>
      <c r="DC70" s="230"/>
      <c r="DE70" s="230"/>
      <c r="DG70" s="230"/>
      <c r="DI70" s="230"/>
      <c r="DK70" s="230"/>
      <c r="DM70" s="261"/>
      <c r="DO70" s="261"/>
      <c r="DQ70" s="261"/>
      <c r="DS70" s="261"/>
      <c r="DU70" s="261"/>
      <c r="DW70" s="261"/>
      <c r="DY70" s="187"/>
      <c r="EA70" s="187"/>
      <c r="EC70" s="187"/>
      <c r="EE70" s="187"/>
      <c r="EG70" s="187"/>
      <c r="EI70" s="187"/>
    </row>
    <row r="71" spans="1:139" x14ac:dyDescent="0.2">
      <c r="A71"/>
      <c r="B71"/>
      <c r="E71" s="187"/>
      <c r="G71" s="187"/>
      <c r="I71" s="201"/>
      <c r="K71" s="201"/>
      <c r="M71" s="201"/>
      <c r="O71" s="201"/>
      <c r="Q71" s="215"/>
      <c r="S71" s="215"/>
      <c r="U71" s="215"/>
      <c r="W71" s="215"/>
      <c r="Y71" s="245"/>
      <c r="AA71" s="245"/>
      <c r="AC71" s="245"/>
      <c r="AE71" s="245"/>
      <c r="AG71" s="245"/>
      <c r="AI71" s="245"/>
      <c r="AK71" s="230"/>
      <c r="AM71" s="230"/>
      <c r="AO71" s="230"/>
      <c r="AQ71" s="230"/>
      <c r="AS71" s="230"/>
      <c r="AU71" s="230"/>
      <c r="AW71" s="261"/>
      <c r="AY71" s="261"/>
      <c r="BA71" s="261"/>
      <c r="BC71" s="261"/>
      <c r="BE71" s="261"/>
      <c r="BG71" s="261"/>
      <c r="BI71" s="261"/>
      <c r="BK71" s="261"/>
      <c r="BM71" s="187"/>
      <c r="BO71" s="187"/>
      <c r="BQ71" s="187"/>
      <c r="BS71" s="187"/>
      <c r="BU71" s="201"/>
      <c r="BW71" s="201"/>
      <c r="BY71" s="201"/>
      <c r="CA71" s="201"/>
      <c r="CC71" s="201"/>
      <c r="CE71" s="201"/>
      <c r="CG71" s="201"/>
      <c r="CI71" s="201"/>
      <c r="CK71" s="215"/>
      <c r="CM71" s="215"/>
      <c r="CO71" s="215"/>
      <c r="CQ71" s="215"/>
      <c r="CS71" s="245"/>
      <c r="CU71" s="245"/>
      <c r="CW71" s="245"/>
      <c r="CY71" s="245"/>
      <c r="DA71" s="230"/>
      <c r="DC71" s="230"/>
      <c r="DE71" s="230"/>
      <c r="DG71" s="230"/>
      <c r="DI71" s="230"/>
      <c r="DK71" s="230"/>
      <c r="DM71" s="261"/>
      <c r="DO71" s="261"/>
      <c r="DQ71" s="261"/>
      <c r="DS71" s="261"/>
      <c r="DU71" s="261"/>
      <c r="DW71" s="261"/>
      <c r="DY71" s="187"/>
      <c r="EA71" s="187"/>
      <c r="EC71" s="187"/>
      <c r="EE71" s="187"/>
      <c r="EG71" s="187"/>
      <c r="EI71" s="187"/>
    </row>
    <row r="72" spans="1:139" x14ac:dyDescent="0.2">
      <c r="A72" s="6" t="s">
        <v>90</v>
      </c>
      <c r="B72" s="7" t="s">
        <v>91</v>
      </c>
      <c r="E72" s="187"/>
      <c r="G72" s="187"/>
      <c r="I72" s="201"/>
      <c r="K72" s="201"/>
      <c r="M72" s="201"/>
      <c r="O72" s="201"/>
      <c r="Q72" s="215"/>
      <c r="S72" s="215"/>
      <c r="U72" s="215"/>
      <c r="W72" s="215"/>
      <c r="Y72" s="245"/>
      <c r="AA72" s="245"/>
      <c r="AC72" s="245"/>
      <c r="AE72" s="245"/>
      <c r="AG72" s="245"/>
      <c r="AI72" s="245"/>
      <c r="AK72" s="230"/>
      <c r="AM72" s="230"/>
      <c r="AO72" s="230"/>
      <c r="AQ72" s="230"/>
      <c r="AS72" s="230"/>
      <c r="AU72" s="230"/>
      <c r="AW72" s="261"/>
      <c r="AY72" s="261"/>
      <c r="BA72" s="261"/>
      <c r="BC72" s="261"/>
      <c r="BE72" s="261"/>
      <c r="BG72" s="261"/>
      <c r="BI72" s="261"/>
      <c r="BK72" s="261"/>
      <c r="BM72" s="187"/>
      <c r="BO72" s="187"/>
      <c r="BQ72" s="187"/>
      <c r="BS72" s="187"/>
      <c r="BU72" s="201"/>
      <c r="BW72" s="201"/>
      <c r="BY72" s="201"/>
      <c r="CA72" s="201"/>
      <c r="CC72" s="201"/>
      <c r="CE72" s="201"/>
      <c r="CG72" s="201"/>
      <c r="CI72" s="201"/>
      <c r="CK72" s="215"/>
      <c r="CM72" s="215"/>
      <c r="CO72" s="215"/>
      <c r="CQ72" s="215"/>
      <c r="CS72" s="245"/>
      <c r="CU72" s="245"/>
      <c r="CW72" s="245"/>
      <c r="CY72" s="245"/>
      <c r="DA72" s="230"/>
      <c r="DC72" s="230"/>
      <c r="DE72" s="230"/>
      <c r="DG72" s="230"/>
      <c r="DI72" s="230"/>
      <c r="DK72" s="230"/>
      <c r="DM72" s="261"/>
      <c r="DO72" s="261"/>
      <c r="DQ72" s="261"/>
      <c r="DS72" s="261"/>
      <c r="DU72" s="261"/>
      <c r="DW72" s="261"/>
      <c r="DY72" s="187"/>
      <c r="EA72" s="187"/>
      <c r="EC72" s="187"/>
      <c r="EE72" s="187"/>
      <c r="EG72" s="187"/>
      <c r="EI72" s="187"/>
    </row>
    <row r="73" spans="1:139" outlineLevel="1" x14ac:dyDescent="0.2">
      <c r="A73"/>
      <c r="B73" s="9" t="s">
        <v>63</v>
      </c>
      <c r="C73" s="8">
        <f>697.229271339924+34.7707286600755</f>
        <v>731.99999999999955</v>
      </c>
      <c r="D73" s="188">
        <f>352.928444129701+12.0715558702993</f>
        <v>365.00000000000028</v>
      </c>
      <c r="E73" s="189"/>
      <c r="F73" s="188">
        <f>344.344915978557+22.6550840214431</f>
        <v>367.00000000000011</v>
      </c>
      <c r="G73" s="189"/>
      <c r="H73" s="202">
        <f>0+0</f>
        <v>0</v>
      </c>
      <c r="I73" s="203"/>
      <c r="J73" s="202">
        <f>0+0</f>
        <v>0</v>
      </c>
      <c r="K73" s="203"/>
      <c r="L73" s="202">
        <f>352.928444129701+12.0715558702993</f>
        <v>365.00000000000028</v>
      </c>
      <c r="M73" s="203"/>
      <c r="N73" s="202">
        <f>344.344915978557+22.6550840214431</f>
        <v>367.00000000000011</v>
      </c>
      <c r="O73" s="203"/>
      <c r="P73" s="216">
        <f>51.2287166666667+1.77128333333333</f>
        <v>53.000000000000028</v>
      </c>
      <c r="Q73" s="217"/>
      <c r="R73" s="216">
        <f>57.3559380528055+4.64406194719454</f>
        <v>62.000000000000043</v>
      </c>
      <c r="S73" s="217"/>
      <c r="T73" s="216">
        <f>301.732918900987+10.2670810990132</f>
        <v>312.00000000000017</v>
      </c>
      <c r="U73" s="217"/>
      <c r="V73" s="216">
        <f>287.140440951688+17.8595590483123</f>
        <v>305.00000000000028</v>
      </c>
      <c r="W73" s="217"/>
      <c r="X73" s="246">
        <f>108.171904333963+4.82809566603692</f>
        <v>112.99999999999991</v>
      </c>
      <c r="Y73" s="247"/>
      <c r="Z73" s="246">
        <f>100.435584999034+3.56441500096641</f>
        <v>104.00000000000041</v>
      </c>
      <c r="AA73" s="247"/>
      <c r="AB73" s="246">
        <f>97.1245187341028+1.87548126589725</f>
        <v>99.000000000000043</v>
      </c>
      <c r="AC73" s="247"/>
      <c r="AD73" s="246">
        <f>89.7922517565178+7.20774824348219</f>
        <v>96.999999999999986</v>
      </c>
      <c r="AE73" s="247"/>
      <c r="AF73" s="246">
        <f>83.2058580005259+5.79414199947415</f>
        <v>89.000000000000043</v>
      </c>
      <c r="AG73" s="247"/>
      <c r="AH73" s="246">
        <f>105.139139086837+4.86086091316319</f>
        <v>110.0000000000002</v>
      </c>
      <c r="AI73" s="247"/>
      <c r="AJ73" s="231">
        <f>81.347414494191+3.65258550580896</f>
        <v>84.999999999999957</v>
      </c>
      <c r="AK73" s="232"/>
      <c r="AL73" s="231">
        <f>86.7773955885698+3.22260441143024</f>
        <v>90.000000000000043</v>
      </c>
      <c r="AM73" s="232"/>
      <c r="AN73" s="231">
        <f>91.2486792832434+1.75132071675662</f>
        <v>93.000000000000028</v>
      </c>
      <c r="AO73" s="232"/>
      <c r="AP73" s="231">
        <f>61.5558959595598+3.44410404044016</f>
        <v>64.999999999999957</v>
      </c>
      <c r="AQ73" s="232"/>
      <c r="AR73" s="231">
        <f>72.5600476663241+5.43995233367595</f>
        <v>78.000000000000043</v>
      </c>
      <c r="AS73" s="232"/>
      <c r="AT73" s="231">
        <f>96.2370441283936+4.76295587160638</f>
        <v>100.99999999999999</v>
      </c>
      <c r="AU73" s="232"/>
      <c r="AV73" s="262">
        <f>98.2175316697926+3.78246833020738</f>
        <v>101.99999999999999</v>
      </c>
      <c r="AW73" s="263"/>
      <c r="AX73" s="262">
        <f>111.212121090461+3.78787890953862</f>
        <v>114.99999999999962</v>
      </c>
      <c r="AY73" s="263"/>
      <c r="AZ73" s="262">
        <f>182.625386094129+5.37461390587058</f>
        <v>187.99999999999957</v>
      </c>
      <c r="BA73" s="263"/>
      <c r="BB73" s="262">
        <f>143.59437549496+11.40562450504</f>
        <v>155</v>
      </c>
      <c r="BC73" s="263"/>
      <c r="BD73" s="262">
        <f>55.0827909055902+1.91720909440984</f>
        <v>57.000000000000043</v>
      </c>
      <c r="BE73" s="263"/>
      <c r="BF73" s="262">
        <f>59.9466521560026+2.05334784399742</f>
        <v>62.000000000000021</v>
      </c>
      <c r="BG73" s="263"/>
      <c r="BH73" s="262">
        <f>17.5618602154537+0.438139784546276</f>
        <v>17.999999999999975</v>
      </c>
      <c r="BI73" s="263"/>
      <c r="BJ73" s="262">
        <f>34.1214868355246+0.878513164475386</f>
        <v>34.999999999999986</v>
      </c>
      <c r="BK73" s="263"/>
      <c r="BL73" s="188">
        <f>145.963130282248+5.03686971775213</f>
        <v>151.00000000000011</v>
      </c>
      <c r="BM73" s="189"/>
      <c r="BN73" s="188">
        <f>139.732424098933+6.26757590106735</f>
        <v>146.00000000000034</v>
      </c>
      <c r="BO73" s="189"/>
      <c r="BP73" s="188">
        <f>207.320535567104+6.67946443289588</f>
        <v>213.99999999999989</v>
      </c>
      <c r="BQ73" s="189"/>
      <c r="BR73" s="188">
        <f>204.620555649693+16.3794443503072</f>
        <v>221.0000000000002</v>
      </c>
      <c r="BS73" s="189"/>
      <c r="BT73" s="202">
        <f>57.0726180104669+1.92738198953312</f>
        <v>59.000000000000014</v>
      </c>
      <c r="BU73" s="203"/>
      <c r="BV73" s="202">
        <f>57.2321873773515+1.76781262264853</f>
        <v>59.000000000000028</v>
      </c>
      <c r="BW73" s="203"/>
      <c r="BX73" s="202">
        <f>158.934215900058+5.06578409994151</f>
        <v>163.99999999999952</v>
      </c>
      <c r="BY73" s="203"/>
      <c r="BZ73" s="202">
        <f>162.542313829788+2.4576861702119</f>
        <v>164.99999999999989</v>
      </c>
      <c r="CA73" s="203"/>
      <c r="CB73" s="202">
        <f>84.899031226348+2.10096877365201</f>
        <v>87.000000000000014</v>
      </c>
      <c r="CC73" s="203"/>
      <c r="CD73" s="202">
        <f>69.2642492563552+2.73575074364484</f>
        <v>72.000000000000043</v>
      </c>
      <c r="CE73" s="203"/>
      <c r="CF73" s="202">
        <f>52.9587192079324+2.0412807920676</f>
        <v>55</v>
      </c>
      <c r="CG73" s="203"/>
      <c r="CH73" s="202">
        <f>64.5599145867224+6.44008541327759</f>
        <v>70.999999999999986</v>
      </c>
      <c r="CI73" s="203"/>
      <c r="CJ73" s="216">
        <f>216.997200855537+7.00279914446281</f>
        <v>223.9999999999998</v>
      </c>
      <c r="CK73" s="217"/>
      <c r="CL73" s="216">
        <f>220.569122335491+12.4308776645093</f>
        <v>233.00000000000028</v>
      </c>
      <c r="CM73" s="217"/>
      <c r="CN73" s="216">
        <f>118.765198290158+4.23480170984192</f>
        <v>122.99999999999991</v>
      </c>
      <c r="CO73" s="217"/>
      <c r="CP73" s="216">
        <f>106.248987327734+8.75101267226572</f>
        <v>114.99999999999972</v>
      </c>
      <c r="CQ73" s="217"/>
      <c r="CR73" s="246">
        <f>147.7075118435+4.29248815650027</f>
        <v>152.00000000000026</v>
      </c>
      <c r="CS73" s="247"/>
      <c r="CT73" s="246">
        <f>158.540933933221+5.45906606677949</f>
        <v>164.00000000000048</v>
      </c>
      <c r="CU73" s="247"/>
      <c r="CV73" s="246">
        <f>204.364384571867+7.63561542813255</f>
        <v>211.99999999999955</v>
      </c>
      <c r="CW73" s="247"/>
      <c r="CX73" s="246">
        <f>183.71663875021+15.2833612497903</f>
        <v>199.00000000000028</v>
      </c>
      <c r="CY73" s="247"/>
      <c r="CZ73" s="231">
        <f>239.89183113749+6.10816886250979</f>
        <v>245.99999999999977</v>
      </c>
      <c r="DA73" s="232"/>
      <c r="DB73" s="231">
        <f>246.611950994608+14.3880490053925</f>
        <v>261.00000000000051</v>
      </c>
      <c r="DC73" s="232"/>
      <c r="DD73" s="231">
        <f>73.1545411997509+3.84545880024913</f>
        <v>77.000000000000028</v>
      </c>
      <c r="DE73" s="232"/>
      <c r="DF73" s="231">
        <f>57.7111736354604+5.28882636453959</f>
        <v>62.999999999999986</v>
      </c>
      <c r="DG73" s="232"/>
      <c r="DH73" s="231">
        <f>59.2561345968836+4.74386540311635</f>
        <v>63.99999999999995</v>
      </c>
      <c r="DI73" s="232"/>
      <c r="DJ73" s="231">
        <f>43.9236974827362+3.07630251726383</f>
        <v>47.000000000000028</v>
      </c>
      <c r="DK73" s="232"/>
      <c r="DL73" s="262">
        <f>108.171904333963+4.82809566603692</f>
        <v>112.99999999999991</v>
      </c>
      <c r="DM73" s="263"/>
      <c r="DN73" s="262">
        <f>89.7922517565178+7.20774824348219</f>
        <v>96.999999999999986</v>
      </c>
      <c r="DO73" s="263"/>
      <c r="DP73" s="262">
        <f>97.1245187341028+1.87548126589725</f>
        <v>99.000000000000043</v>
      </c>
      <c r="DQ73" s="263"/>
      <c r="DR73" s="262">
        <f>105.139139086837+4.86086091316319</f>
        <v>110.0000000000002</v>
      </c>
      <c r="DS73" s="263"/>
      <c r="DT73" s="262">
        <f>100.435584999034+3.56441500096641</f>
        <v>104.00000000000041</v>
      </c>
      <c r="DU73" s="263"/>
      <c r="DV73" s="262">
        <f>83.2058580005259+5.79414199947415</f>
        <v>89.000000000000043</v>
      </c>
      <c r="DW73" s="263"/>
      <c r="DX73" s="188">
        <f>94.5860827725069+4.41391722749312</f>
        <v>99.000000000000014</v>
      </c>
      <c r="DY73" s="189"/>
      <c r="DZ73" s="188">
        <f>95.3832668771317+6.61673312286825</f>
        <v>101.99999999999996</v>
      </c>
      <c r="EA73" s="189"/>
      <c r="EB73" s="188">
        <f>156.872763979102+5.12723602089835</f>
        <v>162.00000000000034</v>
      </c>
      <c r="EC73" s="189"/>
      <c r="ED73" s="188">
        <f>144.654993442741+9.34500655725901</f>
        <v>154</v>
      </c>
      <c r="EE73" s="189"/>
      <c r="EF73" s="188">
        <f>101.52414043422+2.47585956577981</f>
        <v>103.99999999999982</v>
      </c>
      <c r="EG73" s="189"/>
      <c r="EH73" s="188">
        <f>104.388665716211+6.61133428378928</f>
        <v>111.00000000000027</v>
      </c>
      <c r="EI73" s="189"/>
    </row>
    <row r="74" spans="1:139" s="18" customFormat="1" outlineLevel="1" x14ac:dyDescent="0.2">
      <c r="A74"/>
      <c r="B74" s="16"/>
      <c r="C74" s="17" t="s">
        <v>167</v>
      </c>
      <c r="D74" s="190" t="s">
        <v>167</v>
      </c>
      <c r="E74" s="191"/>
      <c r="F74" s="190" t="s">
        <v>167</v>
      </c>
      <c r="G74" s="191"/>
      <c r="H74" s="204" t="s">
        <v>167</v>
      </c>
      <c r="I74" s="205"/>
      <c r="J74" s="204" t="s">
        <v>167</v>
      </c>
      <c r="K74" s="205"/>
      <c r="L74" s="204" t="s">
        <v>167</v>
      </c>
      <c r="M74" s="205"/>
      <c r="N74" s="204" t="s">
        <v>167</v>
      </c>
      <c r="O74" s="205"/>
      <c r="P74" s="218" t="s">
        <v>167</v>
      </c>
      <c r="Q74" s="219"/>
      <c r="R74" s="218" t="s">
        <v>167</v>
      </c>
      <c r="S74" s="219"/>
      <c r="T74" s="218" t="s">
        <v>167</v>
      </c>
      <c r="U74" s="219"/>
      <c r="V74" s="218" t="s">
        <v>167</v>
      </c>
      <c r="W74" s="219"/>
      <c r="X74" s="248" t="s">
        <v>167</v>
      </c>
      <c r="Y74" s="249"/>
      <c r="Z74" s="248" t="s">
        <v>167</v>
      </c>
      <c r="AA74" s="249"/>
      <c r="AB74" s="248" t="s">
        <v>167</v>
      </c>
      <c r="AC74" s="249"/>
      <c r="AD74" s="248" t="s">
        <v>167</v>
      </c>
      <c r="AE74" s="249"/>
      <c r="AF74" s="248" t="s">
        <v>167</v>
      </c>
      <c r="AG74" s="249"/>
      <c r="AH74" s="248" t="s">
        <v>167</v>
      </c>
      <c r="AI74" s="249"/>
      <c r="AJ74" s="233" t="s">
        <v>167</v>
      </c>
      <c r="AK74" s="234"/>
      <c r="AL74" s="233" t="s">
        <v>167</v>
      </c>
      <c r="AM74" s="234"/>
      <c r="AN74" s="233" t="s">
        <v>167</v>
      </c>
      <c r="AO74" s="234"/>
      <c r="AP74" s="233" t="s">
        <v>167</v>
      </c>
      <c r="AQ74" s="234"/>
      <c r="AR74" s="233" t="s">
        <v>167</v>
      </c>
      <c r="AS74" s="234"/>
      <c r="AT74" s="233" t="s">
        <v>167</v>
      </c>
      <c r="AU74" s="234"/>
      <c r="AV74" s="264" t="s">
        <v>167</v>
      </c>
      <c r="AW74" s="265"/>
      <c r="AX74" s="264" t="s">
        <v>167</v>
      </c>
      <c r="AY74" s="265"/>
      <c r="AZ74" s="264" t="s">
        <v>167</v>
      </c>
      <c r="BA74" s="265"/>
      <c r="BB74" s="264" t="s">
        <v>167</v>
      </c>
      <c r="BC74" s="265"/>
      <c r="BD74" s="264" t="s">
        <v>167</v>
      </c>
      <c r="BE74" s="265"/>
      <c r="BF74" s="264" t="s">
        <v>167</v>
      </c>
      <c r="BG74" s="265"/>
      <c r="BH74" s="264" t="s">
        <v>167</v>
      </c>
      <c r="BI74" s="265"/>
      <c r="BJ74" s="264" t="s">
        <v>167</v>
      </c>
      <c r="BK74" s="265"/>
      <c r="BL74" s="190" t="s">
        <v>167</v>
      </c>
      <c r="BM74" s="191"/>
      <c r="BN74" s="190" t="s">
        <v>167</v>
      </c>
      <c r="BO74" s="191"/>
      <c r="BP74" s="190" t="s">
        <v>167</v>
      </c>
      <c r="BQ74" s="191"/>
      <c r="BR74" s="190" t="s">
        <v>167</v>
      </c>
      <c r="BS74" s="191"/>
      <c r="BT74" s="204" t="s">
        <v>167</v>
      </c>
      <c r="BU74" s="205"/>
      <c r="BV74" s="204" t="s">
        <v>167</v>
      </c>
      <c r="BW74" s="205"/>
      <c r="BX74" s="204" t="s">
        <v>167</v>
      </c>
      <c r="BY74" s="205"/>
      <c r="BZ74" s="204" t="s">
        <v>167</v>
      </c>
      <c r="CA74" s="205"/>
      <c r="CB74" s="204" t="s">
        <v>167</v>
      </c>
      <c r="CC74" s="205"/>
      <c r="CD74" s="204" t="s">
        <v>167</v>
      </c>
      <c r="CE74" s="205"/>
      <c r="CF74" s="204" t="s">
        <v>167</v>
      </c>
      <c r="CG74" s="205"/>
      <c r="CH74" s="204" t="s">
        <v>167</v>
      </c>
      <c r="CI74" s="205"/>
      <c r="CJ74" s="218" t="s">
        <v>167</v>
      </c>
      <c r="CK74" s="219"/>
      <c r="CL74" s="218" t="s">
        <v>167</v>
      </c>
      <c r="CM74" s="219"/>
      <c r="CN74" s="218" t="s">
        <v>167</v>
      </c>
      <c r="CO74" s="219"/>
      <c r="CP74" s="218" t="s">
        <v>167</v>
      </c>
      <c r="CQ74" s="219"/>
      <c r="CR74" s="248" t="s">
        <v>167</v>
      </c>
      <c r="CS74" s="249"/>
      <c r="CT74" s="248" t="s">
        <v>167</v>
      </c>
      <c r="CU74" s="249"/>
      <c r="CV74" s="248" t="s">
        <v>167</v>
      </c>
      <c r="CW74" s="249"/>
      <c r="CX74" s="248" t="s">
        <v>167</v>
      </c>
      <c r="CY74" s="249"/>
      <c r="CZ74" s="233" t="s">
        <v>167</v>
      </c>
      <c r="DA74" s="234"/>
      <c r="DB74" s="233" t="s">
        <v>167</v>
      </c>
      <c r="DC74" s="234"/>
      <c r="DD74" s="233" t="s">
        <v>167</v>
      </c>
      <c r="DE74" s="234"/>
      <c r="DF74" s="233" t="s">
        <v>167</v>
      </c>
      <c r="DG74" s="234"/>
      <c r="DH74" s="233" t="s">
        <v>167</v>
      </c>
      <c r="DI74" s="234"/>
      <c r="DJ74" s="233" t="s">
        <v>167</v>
      </c>
      <c r="DK74" s="234"/>
      <c r="DL74" s="264" t="s">
        <v>167</v>
      </c>
      <c r="DM74" s="265"/>
      <c r="DN74" s="264" t="s">
        <v>167</v>
      </c>
      <c r="DO74" s="265"/>
      <c r="DP74" s="264" t="s">
        <v>167</v>
      </c>
      <c r="DQ74" s="265"/>
      <c r="DR74" s="264" t="s">
        <v>167</v>
      </c>
      <c r="DS74" s="265"/>
      <c r="DT74" s="264" t="s">
        <v>167</v>
      </c>
      <c r="DU74" s="265"/>
      <c r="DV74" s="264" t="s">
        <v>167</v>
      </c>
      <c r="DW74" s="265"/>
      <c r="DX74" s="190" t="s">
        <v>167</v>
      </c>
      <c r="DY74" s="191"/>
      <c r="DZ74" s="190" t="s">
        <v>167</v>
      </c>
      <c r="EA74" s="191"/>
      <c r="EB74" s="190" t="s">
        <v>167</v>
      </c>
      <c r="EC74" s="191"/>
      <c r="ED74" s="190" t="s">
        <v>167</v>
      </c>
      <c r="EE74" s="191"/>
      <c r="EF74" s="190" t="s">
        <v>167</v>
      </c>
      <c r="EG74" s="191"/>
      <c r="EH74" s="190" t="s">
        <v>167</v>
      </c>
      <c r="EI74" s="191"/>
    </row>
    <row r="75" spans="1:139" outlineLevel="1" x14ac:dyDescent="0.2">
      <c r="A75"/>
      <c r="B75"/>
      <c r="E75" s="187"/>
      <c r="G75" s="187"/>
      <c r="I75" s="201"/>
      <c r="K75" s="201"/>
      <c r="M75" s="201"/>
      <c r="O75" s="201"/>
      <c r="Q75" s="215"/>
      <c r="S75" s="215"/>
      <c r="U75" s="215"/>
      <c r="W75" s="215"/>
      <c r="Y75" s="245"/>
      <c r="AA75" s="245"/>
      <c r="AC75" s="245"/>
      <c r="AE75" s="245"/>
      <c r="AG75" s="245"/>
      <c r="AI75" s="245"/>
      <c r="AK75" s="230"/>
      <c r="AM75" s="230"/>
      <c r="AO75" s="230"/>
      <c r="AQ75" s="230"/>
      <c r="AS75" s="230"/>
      <c r="AU75" s="230"/>
      <c r="AW75" s="261"/>
      <c r="AY75" s="261"/>
      <c r="BA75" s="261"/>
      <c r="BC75" s="261"/>
      <c r="BE75" s="261"/>
      <c r="BG75" s="261"/>
      <c r="BI75" s="261"/>
      <c r="BK75" s="261"/>
      <c r="BM75" s="187"/>
      <c r="BO75" s="187"/>
      <c r="BQ75" s="187"/>
      <c r="BS75" s="187"/>
      <c r="BU75" s="201"/>
      <c r="BW75" s="201"/>
      <c r="BY75" s="201"/>
      <c r="CA75" s="201"/>
      <c r="CC75" s="201"/>
      <c r="CE75" s="201"/>
      <c r="CG75" s="201"/>
      <c r="CI75" s="201"/>
      <c r="CK75" s="215"/>
      <c r="CM75" s="215"/>
      <c r="CO75" s="215"/>
      <c r="CQ75" s="215"/>
      <c r="CS75" s="245"/>
      <c r="CU75" s="245"/>
      <c r="CW75" s="245"/>
      <c r="CY75" s="245"/>
      <c r="DA75" s="230"/>
      <c r="DC75" s="230"/>
      <c r="DE75" s="230"/>
      <c r="DG75" s="230"/>
      <c r="DI75" s="230"/>
      <c r="DK75" s="230"/>
      <c r="DM75" s="261"/>
      <c r="DO75" s="261"/>
      <c r="DQ75" s="261"/>
      <c r="DS75" s="261"/>
      <c r="DU75" s="261"/>
      <c r="DW75" s="261"/>
      <c r="DY75" s="187"/>
      <c r="EA75" s="187"/>
      <c r="EC75" s="187"/>
      <c r="EE75" s="187"/>
      <c r="EG75" s="187"/>
      <c r="EI75" s="187"/>
    </row>
    <row r="76" spans="1:139" outlineLevel="1" x14ac:dyDescent="0.2">
      <c r="A76"/>
      <c r="B76" s="7" t="s">
        <v>92</v>
      </c>
      <c r="C76" s="10">
        <v>32.204550105560024</v>
      </c>
      <c r="D76" s="192">
        <v>32.652240668821939</v>
      </c>
      <c r="E76" s="189"/>
      <c r="F76" s="192">
        <v>31.752939723659114</v>
      </c>
      <c r="G76" s="189"/>
      <c r="H76" s="206">
        <v>0</v>
      </c>
      <c r="I76" s="203"/>
      <c r="J76" s="206">
        <v>0</v>
      </c>
      <c r="K76" s="203"/>
      <c r="L76" s="206">
        <v>32.652240668821939</v>
      </c>
      <c r="M76" s="203"/>
      <c r="N76" s="206">
        <v>31.752939723659114</v>
      </c>
      <c r="O76" s="203"/>
      <c r="P76" s="220">
        <v>67.710040885271709</v>
      </c>
      <c r="Q76" s="217"/>
      <c r="R76" s="220">
        <v>77.761754222451728</v>
      </c>
      <c r="S76" s="217"/>
      <c r="T76" s="220">
        <v>26.863288775290918</v>
      </c>
      <c r="U76" s="217"/>
      <c r="V76" s="220">
        <v>22.040437718561826</v>
      </c>
      <c r="W76" s="217"/>
      <c r="X76" s="250">
        <v>40.559973619703719</v>
      </c>
      <c r="Y76" s="247"/>
      <c r="Z76" s="250">
        <v>38.157945120503612</v>
      </c>
      <c r="AA76" s="247" t="s">
        <v>190</v>
      </c>
      <c r="AB76" s="250">
        <v>19.377724532993408</v>
      </c>
      <c r="AC76" s="247"/>
      <c r="AD76" s="250">
        <v>52.731320552325727</v>
      </c>
      <c r="AE76" s="247"/>
      <c r="AF76" s="250">
        <v>21.050997139372839</v>
      </c>
      <c r="AG76" s="247"/>
      <c r="AH76" s="250">
        <v>19.566224348387344</v>
      </c>
      <c r="AI76" s="247"/>
      <c r="AJ76" s="235">
        <v>32.084237624134467</v>
      </c>
      <c r="AK76" s="232"/>
      <c r="AL76" s="235">
        <v>35.568875894872122</v>
      </c>
      <c r="AM76" s="232" t="s">
        <v>196</v>
      </c>
      <c r="AN76" s="235">
        <v>16.399325138386303</v>
      </c>
      <c r="AO76" s="232"/>
      <c r="AP76" s="235">
        <v>34.239665679741478</v>
      </c>
      <c r="AQ76" s="232"/>
      <c r="AR76" s="235">
        <v>15.215266267159675</v>
      </c>
      <c r="AS76" s="232"/>
      <c r="AT76" s="235">
        <v>15.323166453636818</v>
      </c>
      <c r="AU76" s="232"/>
      <c r="AV76" s="266">
        <v>39.598974007216725</v>
      </c>
      <c r="AW76" s="263"/>
      <c r="AX76" s="266">
        <v>35.562468942520404</v>
      </c>
      <c r="AY76" s="263"/>
      <c r="AZ76" s="266">
        <v>30.069928626140957</v>
      </c>
      <c r="BA76" s="263"/>
      <c r="BB76" s="266">
        <v>32.633170038149132</v>
      </c>
      <c r="BC76" s="263"/>
      <c r="BD76" s="266">
        <v>32.134777209388247</v>
      </c>
      <c r="BE76" s="263"/>
      <c r="BF76" s="266">
        <v>24.484128014119968</v>
      </c>
      <c r="BG76" s="263"/>
      <c r="BH76" s="266">
        <v>20.496783416726231</v>
      </c>
      <c r="BI76" s="263"/>
      <c r="BJ76" s="266">
        <v>27.766085906503363</v>
      </c>
      <c r="BK76" s="263"/>
      <c r="BL76" s="192">
        <v>33.777273889456005</v>
      </c>
      <c r="BM76" s="189"/>
      <c r="BN76" s="192">
        <v>33.841641952706524</v>
      </c>
      <c r="BO76" s="189"/>
      <c r="BP76" s="192">
        <v>31.807736946302189</v>
      </c>
      <c r="BQ76" s="189"/>
      <c r="BR76" s="192">
        <v>30.312482177624229</v>
      </c>
      <c r="BS76" s="189"/>
      <c r="BT76" s="206">
        <v>36.449815094536177</v>
      </c>
      <c r="BU76" s="203"/>
      <c r="BV76" s="206">
        <v>29.50906480757163</v>
      </c>
      <c r="BW76" s="203"/>
      <c r="BX76" s="206">
        <v>32.649296821856261</v>
      </c>
      <c r="BY76" s="203"/>
      <c r="BZ76" s="206">
        <v>28.812829044172002</v>
      </c>
      <c r="CA76" s="203"/>
      <c r="CB76" s="206">
        <v>35.906301473061731</v>
      </c>
      <c r="CC76" s="203"/>
      <c r="CD76" s="206">
        <v>26.900897724840412</v>
      </c>
      <c r="CE76" s="203"/>
      <c r="CF76" s="206">
        <v>24.048491260992385</v>
      </c>
      <c r="CG76" s="203"/>
      <c r="CH76" s="206">
        <v>42.764041789488459</v>
      </c>
      <c r="CI76" s="203" t="s">
        <v>214</v>
      </c>
      <c r="CJ76" s="220">
        <v>34.826531844678819</v>
      </c>
      <c r="CK76" s="217"/>
      <c r="CL76" s="220">
        <v>33.26154605640135</v>
      </c>
      <c r="CM76" s="217"/>
      <c r="CN76" s="220">
        <v>27.180571995265364</v>
      </c>
      <c r="CO76" s="217"/>
      <c r="CP76" s="220">
        <v>30.481256120322399</v>
      </c>
      <c r="CQ76" s="217"/>
      <c r="CR76" s="250">
        <v>34.206168151800021</v>
      </c>
      <c r="CS76" s="247"/>
      <c r="CT76" s="250">
        <v>28.801898567649435</v>
      </c>
      <c r="CU76" s="247"/>
      <c r="CV76" s="250">
        <v>31.616508295615169</v>
      </c>
      <c r="CW76" s="247"/>
      <c r="CX76" s="250">
        <v>34.115230130394288</v>
      </c>
      <c r="CY76" s="247"/>
      <c r="CZ76" s="235">
        <v>27.625671332786233</v>
      </c>
      <c r="DA76" s="232"/>
      <c r="DB76" s="235">
        <v>30.12188592971555</v>
      </c>
      <c r="DC76" s="232"/>
      <c r="DD76" s="235">
        <v>41.221534794199776</v>
      </c>
      <c r="DE76" s="232"/>
      <c r="DF76" s="235">
        <v>26.166395255099893</v>
      </c>
      <c r="DG76" s="232"/>
      <c r="DH76" s="235">
        <v>40.011428076150793</v>
      </c>
      <c r="DI76" s="232"/>
      <c r="DJ76" s="235">
        <v>45.362911927303827</v>
      </c>
      <c r="DK76" s="232"/>
      <c r="DL76" s="266">
        <v>40.559973619703719</v>
      </c>
      <c r="DM76" s="263"/>
      <c r="DN76" s="266">
        <v>52.731320552325727</v>
      </c>
      <c r="DO76" s="263"/>
      <c r="DP76" s="266">
        <v>19.377724532993408</v>
      </c>
      <c r="DQ76" s="263"/>
      <c r="DR76" s="266">
        <v>19.566224348387344</v>
      </c>
      <c r="DS76" s="263"/>
      <c r="DT76" s="266">
        <v>38.157945120503612</v>
      </c>
      <c r="DU76" s="263" t="s">
        <v>233</v>
      </c>
      <c r="DV76" s="266">
        <v>21.050997139372839</v>
      </c>
      <c r="DW76" s="263"/>
      <c r="DX76" s="192">
        <v>40.359793787991485</v>
      </c>
      <c r="DY76" s="189"/>
      <c r="DZ76" s="192">
        <v>41.260185207572718</v>
      </c>
      <c r="EA76" s="189"/>
      <c r="EB76" s="192">
        <v>31.219144119866336</v>
      </c>
      <c r="EC76" s="189"/>
      <c r="ED76" s="192">
        <v>29.68633939820587</v>
      </c>
      <c r="EE76" s="189"/>
      <c r="EF76" s="192">
        <v>27.840253266973232</v>
      </c>
      <c r="EG76" s="189"/>
      <c r="EH76" s="192">
        <v>25.616812827945544</v>
      </c>
      <c r="EI76" s="189"/>
    </row>
    <row r="77" spans="1:139" outlineLevel="1" x14ac:dyDescent="0.2">
      <c r="A77"/>
      <c r="B77" s="11" t="s">
        <v>93</v>
      </c>
      <c r="C77" s="12">
        <v>12.081315233894617</v>
      </c>
      <c r="D77" s="193">
        <v>10.319846048211677</v>
      </c>
      <c r="E77" s="189"/>
      <c r="F77" s="193">
        <v>13.85820721450035</v>
      </c>
      <c r="G77" s="189"/>
      <c r="H77" s="207">
        <v>0</v>
      </c>
      <c r="I77" s="203"/>
      <c r="J77" s="207">
        <v>0</v>
      </c>
      <c r="K77" s="203"/>
      <c r="L77" s="207">
        <v>10.319846048211677</v>
      </c>
      <c r="M77" s="203"/>
      <c r="N77" s="207">
        <v>13.85820721450035</v>
      </c>
      <c r="O77" s="203"/>
      <c r="P77" s="221">
        <v>41.6250455880377</v>
      </c>
      <c r="Q77" s="217"/>
      <c r="R77" s="221">
        <v>49.14732294671083</v>
      </c>
      <c r="S77" s="217"/>
      <c r="T77" s="221">
        <v>5.1505458344347641</v>
      </c>
      <c r="U77" s="217"/>
      <c r="V77" s="221">
        <v>6.4086432333158516</v>
      </c>
      <c r="W77" s="217"/>
      <c r="X77" s="251">
        <v>12.683900244589671</v>
      </c>
      <c r="Y77" s="247"/>
      <c r="Z77" s="251">
        <v>15.543606454429188</v>
      </c>
      <c r="AA77" s="247"/>
      <c r="AB77" s="251">
        <v>0</v>
      </c>
      <c r="AC77" s="247"/>
      <c r="AD77" s="251">
        <v>24.418099849724495</v>
      </c>
      <c r="AE77" s="247" t="s">
        <v>108</v>
      </c>
      <c r="AF77" s="251">
        <v>11.060449449408608</v>
      </c>
      <c r="AG77" s="247"/>
      <c r="AH77" s="251">
        <v>7.8678550410995314</v>
      </c>
      <c r="AI77" s="247" t="s">
        <v>188</v>
      </c>
      <c r="AJ77" s="236">
        <v>3.6144620761577273</v>
      </c>
      <c r="AK77" s="232"/>
      <c r="AL77" s="236">
        <v>12.405875572475257</v>
      </c>
      <c r="AM77" s="232"/>
      <c r="AN77" s="236">
        <v>0</v>
      </c>
      <c r="AO77" s="232"/>
      <c r="AP77" s="236">
        <v>10.292234615402567</v>
      </c>
      <c r="AQ77" s="232"/>
      <c r="AR77" s="236">
        <v>6.1481833507843966</v>
      </c>
      <c r="AS77" s="232"/>
      <c r="AT77" s="236">
        <v>3.7224253784164425</v>
      </c>
      <c r="AU77" s="232"/>
      <c r="AV77" s="267">
        <v>13.283901477642148</v>
      </c>
      <c r="AW77" s="263"/>
      <c r="AX77" s="267">
        <v>12.876359094493402</v>
      </c>
      <c r="AY77" s="263"/>
      <c r="AZ77" s="267">
        <v>9.1054834200817165</v>
      </c>
      <c r="BA77" s="263"/>
      <c r="BB77" s="267">
        <v>15.382828666751129</v>
      </c>
      <c r="BC77" s="263"/>
      <c r="BD77" s="267">
        <v>10.642519967298805</v>
      </c>
      <c r="BE77" s="263"/>
      <c r="BF77" s="267">
        <v>9.3437502703731585</v>
      </c>
      <c r="BG77" s="263"/>
      <c r="BH77" s="267">
        <v>4.6283059328091491</v>
      </c>
      <c r="BI77" s="263"/>
      <c r="BJ77" s="267">
        <v>17.098499223736415</v>
      </c>
      <c r="BK77" s="263"/>
      <c r="BL77" s="193">
        <v>11.190804136818791</v>
      </c>
      <c r="BM77" s="189"/>
      <c r="BN77" s="193">
        <v>14.480105906406759</v>
      </c>
      <c r="BO77" s="189"/>
      <c r="BP77" s="193">
        <v>9.666063266959366</v>
      </c>
      <c r="BQ77" s="189"/>
      <c r="BR77" s="193">
        <v>13.429319529521736</v>
      </c>
      <c r="BS77" s="189"/>
      <c r="BT77" s="207">
        <v>10.452106880566696</v>
      </c>
      <c r="BU77" s="203"/>
      <c r="BV77" s="207">
        <v>10.795932226701854</v>
      </c>
      <c r="BW77" s="203"/>
      <c r="BX77" s="207">
        <v>11.40796987961337</v>
      </c>
      <c r="BY77" s="203"/>
      <c r="BZ77" s="207">
        <v>11.882973974973282</v>
      </c>
      <c r="CA77" s="203"/>
      <c r="CB77" s="207">
        <v>7.8543333445827894</v>
      </c>
      <c r="CC77" s="203"/>
      <c r="CD77" s="207">
        <v>14.092391372776147</v>
      </c>
      <c r="CE77" s="203"/>
      <c r="CF77" s="207">
        <v>11.100020296191303</v>
      </c>
      <c r="CG77" s="203"/>
      <c r="CH77" s="207">
        <v>19.049203029584572</v>
      </c>
      <c r="CI77" s="203"/>
      <c r="CJ77" s="221">
        <v>12.434593100704422</v>
      </c>
      <c r="CK77" s="217"/>
      <c r="CL77" s="221">
        <v>14.169583116619798</v>
      </c>
      <c r="CM77" s="217"/>
      <c r="CN77" s="221">
        <v>5.423158130458428</v>
      </c>
      <c r="CO77" s="217"/>
      <c r="CP77" s="221">
        <v>13.542045045572863</v>
      </c>
      <c r="CQ77" s="217" t="s">
        <v>217</v>
      </c>
      <c r="CR77" s="251">
        <v>11.221879433709976</v>
      </c>
      <c r="CS77" s="247"/>
      <c r="CT77" s="251">
        <v>12.458831748385348</v>
      </c>
      <c r="CU77" s="247"/>
      <c r="CV77" s="251">
        <v>9.6858430610246291</v>
      </c>
      <c r="CW77" s="247"/>
      <c r="CX77" s="251">
        <v>14.715684181931076</v>
      </c>
      <c r="CY77" s="247"/>
      <c r="CZ77" s="236">
        <v>6.0160076830581088</v>
      </c>
      <c r="DA77" s="232"/>
      <c r="DB77" s="236">
        <v>14.019217192566801</v>
      </c>
      <c r="DC77" s="232" t="s">
        <v>222</v>
      </c>
      <c r="DD77" s="236">
        <v>18.810726123341151</v>
      </c>
      <c r="DE77" s="232"/>
      <c r="DF77" s="236">
        <v>11.224621939335469</v>
      </c>
      <c r="DG77" s="232"/>
      <c r="DH77" s="236">
        <v>11.972033314768058</v>
      </c>
      <c r="DI77" s="232"/>
      <c r="DJ77" s="236">
        <v>20.268843994365731</v>
      </c>
      <c r="DK77" s="232"/>
      <c r="DL77" s="267">
        <v>12.683900244589671</v>
      </c>
      <c r="DM77" s="263"/>
      <c r="DN77" s="267">
        <v>24.418099849724495</v>
      </c>
      <c r="DO77" s="263" t="s">
        <v>228</v>
      </c>
      <c r="DP77" s="267">
        <v>0</v>
      </c>
      <c r="DQ77" s="263"/>
      <c r="DR77" s="267">
        <v>7.8678550410995314</v>
      </c>
      <c r="DS77" s="263" t="s">
        <v>230</v>
      </c>
      <c r="DT77" s="267">
        <v>15.543606454429188</v>
      </c>
      <c r="DU77" s="263"/>
      <c r="DV77" s="267">
        <v>11.060449449408608</v>
      </c>
      <c r="DW77" s="263"/>
      <c r="DX77" s="193">
        <v>15.697350534766215</v>
      </c>
      <c r="DY77" s="189"/>
      <c r="DZ77" s="193">
        <v>19.159167291278802</v>
      </c>
      <c r="EA77" s="189"/>
      <c r="EB77" s="193">
        <v>7.3328508292397485</v>
      </c>
      <c r="EC77" s="189"/>
      <c r="ED77" s="193">
        <v>15.435325387922669</v>
      </c>
      <c r="EE77" s="189" t="s">
        <v>236</v>
      </c>
      <c r="EF77" s="193">
        <v>9.9558712732752124</v>
      </c>
      <c r="EG77" s="189"/>
      <c r="EH77" s="193">
        <v>6.6312882985359405</v>
      </c>
      <c r="EI77" s="189"/>
    </row>
    <row r="78" spans="1:139" outlineLevel="1" x14ac:dyDescent="0.2">
      <c r="A78"/>
      <c r="B78" s="11" t="s">
        <v>94</v>
      </c>
      <c r="C78" s="12">
        <v>20.123234871665407</v>
      </c>
      <c r="D78" s="193">
        <v>22.332394620610259</v>
      </c>
      <c r="E78" s="189"/>
      <c r="F78" s="193">
        <v>17.894732509158764</v>
      </c>
      <c r="G78" s="189"/>
      <c r="H78" s="207">
        <v>0</v>
      </c>
      <c r="I78" s="203"/>
      <c r="J78" s="207">
        <v>0</v>
      </c>
      <c r="K78" s="203"/>
      <c r="L78" s="207">
        <v>22.332394620610259</v>
      </c>
      <c r="M78" s="203"/>
      <c r="N78" s="207">
        <v>17.894732509158764</v>
      </c>
      <c r="O78" s="203"/>
      <c r="P78" s="221">
        <v>26.084995297234006</v>
      </c>
      <c r="Q78" s="217"/>
      <c r="R78" s="221">
        <v>28.614431275740895</v>
      </c>
      <c r="S78" s="217"/>
      <c r="T78" s="221">
        <v>21.712742940856156</v>
      </c>
      <c r="U78" s="217"/>
      <c r="V78" s="221">
        <v>15.631794485245974</v>
      </c>
      <c r="W78" s="217"/>
      <c r="X78" s="251">
        <v>27.87607337511405</v>
      </c>
      <c r="Y78" s="247"/>
      <c r="Z78" s="251">
        <v>22.614338666074424</v>
      </c>
      <c r="AA78" s="247" t="s">
        <v>190</v>
      </c>
      <c r="AB78" s="251">
        <v>19.377724532993408</v>
      </c>
      <c r="AC78" s="247"/>
      <c r="AD78" s="251">
        <v>28.313220702601232</v>
      </c>
      <c r="AE78" s="247"/>
      <c r="AF78" s="251">
        <v>9.9905476899642309</v>
      </c>
      <c r="AG78" s="247"/>
      <c r="AH78" s="251">
        <v>11.698369307287811</v>
      </c>
      <c r="AI78" s="247"/>
      <c r="AJ78" s="236">
        <v>28.469775547976742</v>
      </c>
      <c r="AK78" s="232"/>
      <c r="AL78" s="236">
        <v>23.163000322396865</v>
      </c>
      <c r="AM78" s="232" t="s">
        <v>196</v>
      </c>
      <c r="AN78" s="236">
        <v>16.399325138386303</v>
      </c>
      <c r="AO78" s="232"/>
      <c r="AP78" s="236">
        <v>23.947431064338915</v>
      </c>
      <c r="AQ78" s="232"/>
      <c r="AR78" s="236">
        <v>9.0670829163752789</v>
      </c>
      <c r="AS78" s="232"/>
      <c r="AT78" s="236">
        <v>11.600741075220375</v>
      </c>
      <c r="AU78" s="232"/>
      <c r="AV78" s="267">
        <v>26.315072529574579</v>
      </c>
      <c r="AW78" s="263"/>
      <c r="AX78" s="267">
        <v>22.686109848027002</v>
      </c>
      <c r="AY78" s="263"/>
      <c r="AZ78" s="267">
        <v>20.964445206059242</v>
      </c>
      <c r="BA78" s="263"/>
      <c r="BB78" s="267">
        <v>17.250341371398004</v>
      </c>
      <c r="BC78" s="263"/>
      <c r="BD78" s="267">
        <v>21.49225724208944</v>
      </c>
      <c r="BE78" s="263"/>
      <c r="BF78" s="267">
        <v>15.140377743746809</v>
      </c>
      <c r="BG78" s="263"/>
      <c r="BH78" s="267">
        <v>15.868477483917083</v>
      </c>
      <c r="BI78" s="263"/>
      <c r="BJ78" s="267">
        <v>10.667586682766949</v>
      </c>
      <c r="BK78" s="263"/>
      <c r="BL78" s="193">
        <v>22.586469752637218</v>
      </c>
      <c r="BM78" s="189"/>
      <c r="BN78" s="193">
        <v>19.361536046299765</v>
      </c>
      <c r="BO78" s="189"/>
      <c r="BP78" s="193">
        <v>22.141673679342823</v>
      </c>
      <c r="BQ78" s="189"/>
      <c r="BR78" s="193">
        <v>16.883162648102491</v>
      </c>
      <c r="BS78" s="189"/>
      <c r="BT78" s="207">
        <v>25.997708213969478</v>
      </c>
      <c r="BU78" s="203"/>
      <c r="BV78" s="207">
        <v>18.713132580869775</v>
      </c>
      <c r="BW78" s="203"/>
      <c r="BX78" s="207">
        <v>21.241326942242893</v>
      </c>
      <c r="BY78" s="203"/>
      <c r="BZ78" s="207">
        <v>16.92985506919872</v>
      </c>
      <c r="CA78" s="203"/>
      <c r="CB78" s="207">
        <v>28.051968128478943</v>
      </c>
      <c r="CC78" s="203" t="s">
        <v>213</v>
      </c>
      <c r="CD78" s="207">
        <v>12.808506352064263</v>
      </c>
      <c r="CE78" s="203"/>
      <c r="CF78" s="207">
        <v>12.948470964801082</v>
      </c>
      <c r="CG78" s="203"/>
      <c r="CH78" s="207">
        <v>23.714838759903891</v>
      </c>
      <c r="CI78" s="203"/>
      <c r="CJ78" s="221">
        <v>22.391938743974393</v>
      </c>
      <c r="CK78" s="217"/>
      <c r="CL78" s="221">
        <v>19.091962939781553</v>
      </c>
      <c r="CM78" s="217"/>
      <c r="CN78" s="221">
        <v>21.757413864806935</v>
      </c>
      <c r="CO78" s="217"/>
      <c r="CP78" s="221">
        <v>16.939211074749537</v>
      </c>
      <c r="CQ78" s="217"/>
      <c r="CR78" s="251">
        <v>22.984288718090045</v>
      </c>
      <c r="CS78" s="247"/>
      <c r="CT78" s="251">
        <v>16.343066819264084</v>
      </c>
      <c r="CU78" s="247"/>
      <c r="CV78" s="251">
        <v>21.930665234590542</v>
      </c>
      <c r="CW78" s="247"/>
      <c r="CX78" s="251">
        <v>19.39954594846321</v>
      </c>
      <c r="CY78" s="247"/>
      <c r="CZ78" s="236">
        <v>21.609663649728123</v>
      </c>
      <c r="DA78" s="232"/>
      <c r="DB78" s="236">
        <v>16.10266873714875</v>
      </c>
      <c r="DC78" s="232"/>
      <c r="DD78" s="236">
        <v>22.410808670858621</v>
      </c>
      <c r="DE78" s="232"/>
      <c r="DF78" s="236">
        <v>14.941773315764426</v>
      </c>
      <c r="DG78" s="232"/>
      <c r="DH78" s="236">
        <v>28.039394761382731</v>
      </c>
      <c r="DI78" s="232"/>
      <c r="DJ78" s="236">
        <v>25.094067932938096</v>
      </c>
      <c r="DK78" s="232"/>
      <c r="DL78" s="267">
        <v>27.87607337511405</v>
      </c>
      <c r="DM78" s="263"/>
      <c r="DN78" s="267">
        <v>28.313220702601232</v>
      </c>
      <c r="DO78" s="263"/>
      <c r="DP78" s="267">
        <v>19.377724532993408</v>
      </c>
      <c r="DQ78" s="263"/>
      <c r="DR78" s="267">
        <v>11.698369307287811</v>
      </c>
      <c r="DS78" s="263"/>
      <c r="DT78" s="267">
        <v>22.614338666074424</v>
      </c>
      <c r="DU78" s="263" t="s">
        <v>233</v>
      </c>
      <c r="DV78" s="267">
        <v>9.9905476899642309</v>
      </c>
      <c r="DW78" s="263"/>
      <c r="DX78" s="193">
        <v>24.66244325322527</v>
      </c>
      <c r="DY78" s="189"/>
      <c r="DZ78" s="193">
        <v>22.101017916293916</v>
      </c>
      <c r="EA78" s="189"/>
      <c r="EB78" s="193">
        <v>23.88629329062659</v>
      </c>
      <c r="EC78" s="189" t="s">
        <v>237</v>
      </c>
      <c r="ED78" s="193">
        <v>14.2510140102832</v>
      </c>
      <c r="EE78" s="189"/>
      <c r="EF78" s="193">
        <v>17.884381993698018</v>
      </c>
      <c r="EG78" s="189"/>
      <c r="EH78" s="193">
        <v>18.985524529409606</v>
      </c>
      <c r="EI78" s="189"/>
    </row>
    <row r="79" spans="1:139" outlineLevel="1" x14ac:dyDescent="0.2">
      <c r="A79"/>
      <c r="B79" s="7"/>
      <c r="E79" s="187"/>
      <c r="G79" s="187"/>
      <c r="I79" s="201"/>
      <c r="K79" s="201"/>
      <c r="M79" s="201"/>
      <c r="O79" s="201"/>
      <c r="Q79" s="215"/>
      <c r="S79" s="215"/>
      <c r="U79" s="215"/>
      <c r="W79" s="215"/>
      <c r="Y79" s="245"/>
      <c r="AA79" s="245"/>
      <c r="AC79" s="245"/>
      <c r="AE79" s="245"/>
      <c r="AG79" s="245"/>
      <c r="AI79" s="245"/>
      <c r="AK79" s="230"/>
      <c r="AM79" s="230"/>
      <c r="AO79" s="230"/>
      <c r="AQ79" s="230"/>
      <c r="AS79" s="230"/>
      <c r="AU79" s="230"/>
      <c r="AW79" s="261"/>
      <c r="AY79" s="261"/>
      <c r="BA79" s="261"/>
      <c r="BC79" s="261"/>
      <c r="BE79" s="261"/>
      <c r="BG79" s="261"/>
      <c r="BI79" s="261"/>
      <c r="BK79" s="261"/>
      <c r="BM79" s="187"/>
      <c r="BO79" s="187"/>
      <c r="BQ79" s="187"/>
      <c r="BS79" s="187"/>
      <c r="BU79" s="201"/>
      <c r="BW79" s="201"/>
      <c r="BY79" s="201"/>
      <c r="CA79" s="201"/>
      <c r="CC79" s="201"/>
      <c r="CE79" s="201"/>
      <c r="CG79" s="201"/>
      <c r="CI79" s="201"/>
      <c r="CK79" s="215"/>
      <c r="CM79" s="215"/>
      <c r="CO79" s="215"/>
      <c r="CQ79" s="215"/>
      <c r="CS79" s="245"/>
      <c r="CU79" s="245"/>
      <c r="CW79" s="245"/>
      <c r="CY79" s="245"/>
      <c r="DA79" s="230"/>
      <c r="DC79" s="230"/>
      <c r="DE79" s="230"/>
      <c r="DG79" s="230"/>
      <c r="DI79" s="230"/>
      <c r="DK79" s="230"/>
      <c r="DM79" s="261"/>
      <c r="DO79" s="261"/>
      <c r="DQ79" s="261"/>
      <c r="DS79" s="261"/>
      <c r="DU79" s="261"/>
      <c r="DW79" s="261"/>
      <c r="DY79" s="187"/>
      <c r="EA79" s="187"/>
      <c r="EC79" s="187"/>
      <c r="EE79" s="187"/>
      <c r="EG79" s="187"/>
      <c r="EI79" s="187"/>
    </row>
    <row r="80" spans="1:139" outlineLevel="1" x14ac:dyDescent="0.2">
      <c r="A80"/>
      <c r="B80" s="13" t="s">
        <v>95</v>
      </c>
      <c r="C80" s="12">
        <v>45.066766338716114</v>
      </c>
      <c r="D80" s="193">
        <v>47.16454712733232</v>
      </c>
      <c r="E80" s="189"/>
      <c r="F80" s="193">
        <v>42.950618130925754</v>
      </c>
      <c r="G80" s="189"/>
      <c r="H80" s="207">
        <v>0</v>
      </c>
      <c r="I80" s="203"/>
      <c r="J80" s="207">
        <v>0</v>
      </c>
      <c r="K80" s="203"/>
      <c r="L80" s="207">
        <v>47.16454712733232</v>
      </c>
      <c r="M80" s="203"/>
      <c r="N80" s="207">
        <v>42.950618130925754</v>
      </c>
      <c r="O80" s="203"/>
      <c r="P80" s="221">
        <v>23.242221241146325</v>
      </c>
      <c r="Q80" s="217"/>
      <c r="R80" s="221">
        <v>16.473072030429361</v>
      </c>
      <c r="S80" s="217"/>
      <c r="T80" s="221">
        <v>51.114743456864787</v>
      </c>
      <c r="U80" s="217"/>
      <c r="V80" s="221">
        <v>48.540051859931651</v>
      </c>
      <c r="W80" s="217"/>
      <c r="X80" s="251">
        <v>47.376223953702223</v>
      </c>
      <c r="Y80" s="247" t="s">
        <v>189</v>
      </c>
      <c r="Z80" s="251">
        <v>40.999754933870435</v>
      </c>
      <c r="AA80" s="247"/>
      <c r="AB80" s="251">
        <v>53.179834914939491</v>
      </c>
      <c r="AC80" s="247"/>
      <c r="AD80" s="251">
        <v>30.121485349403198</v>
      </c>
      <c r="AE80" s="247"/>
      <c r="AF80" s="251">
        <v>52.291788503996266</v>
      </c>
      <c r="AG80" s="247"/>
      <c r="AH80" s="251">
        <v>46.664388632610056</v>
      </c>
      <c r="AI80" s="247"/>
      <c r="AJ80" s="236">
        <v>54.026560312673233</v>
      </c>
      <c r="AK80" s="232"/>
      <c r="AL80" s="236">
        <v>42.625502917029181</v>
      </c>
      <c r="AM80" s="232"/>
      <c r="AN80" s="236">
        <v>55.534721337695991</v>
      </c>
      <c r="AO80" s="232"/>
      <c r="AP80" s="236">
        <v>40.898532370160737</v>
      </c>
      <c r="AQ80" s="232"/>
      <c r="AR80" s="236">
        <v>55.52670656584975</v>
      </c>
      <c r="AS80" s="232"/>
      <c r="AT80" s="236">
        <v>49.872337083829741</v>
      </c>
      <c r="AU80" s="232"/>
      <c r="AV80" s="267">
        <v>40.963389833783367</v>
      </c>
      <c r="AW80" s="263"/>
      <c r="AX80" s="267">
        <v>43.232874977696177</v>
      </c>
      <c r="AY80" s="263"/>
      <c r="AZ80" s="267">
        <v>50.187415737760425</v>
      </c>
      <c r="BA80" s="263"/>
      <c r="BB80" s="267">
        <v>40.984334454814622</v>
      </c>
      <c r="BC80" s="263"/>
      <c r="BD80" s="267">
        <v>44.994686970183025</v>
      </c>
      <c r="BE80" s="263"/>
      <c r="BF80" s="267">
        <v>49.986935568994902</v>
      </c>
      <c r="BG80" s="263"/>
      <c r="BH80" s="267">
        <v>58.324823853773097</v>
      </c>
      <c r="BI80" s="263"/>
      <c r="BJ80" s="267">
        <v>39.788291749651073</v>
      </c>
      <c r="BK80" s="263"/>
      <c r="BL80" s="193">
        <v>46.142875179150693</v>
      </c>
      <c r="BM80" s="189"/>
      <c r="BN80" s="193">
        <v>38.288272237017352</v>
      </c>
      <c r="BO80" s="189"/>
      <c r="BP80" s="193">
        <v>47.931462937113565</v>
      </c>
      <c r="BQ80" s="189"/>
      <c r="BR80" s="193">
        <v>46.165969381911893</v>
      </c>
      <c r="BS80" s="189"/>
      <c r="BT80" s="207">
        <v>41.679427747972987</v>
      </c>
      <c r="BU80" s="203"/>
      <c r="BV80" s="207">
        <v>51.631493436718273</v>
      </c>
      <c r="BW80" s="203"/>
      <c r="BX80" s="207">
        <v>47.806685333713006</v>
      </c>
      <c r="BY80" s="203"/>
      <c r="BZ80" s="207">
        <v>46.167282220103885</v>
      </c>
      <c r="CA80" s="203"/>
      <c r="CB80" s="207">
        <v>45.211379077972879</v>
      </c>
      <c r="CC80" s="203"/>
      <c r="CD80" s="207">
        <v>44.733767296626922</v>
      </c>
      <c r="CE80" s="203"/>
      <c r="CF80" s="207">
        <v>53.716864804075215</v>
      </c>
      <c r="CG80" s="203" t="s">
        <v>215</v>
      </c>
      <c r="CH80" s="207">
        <v>29.934900026304213</v>
      </c>
      <c r="CI80" s="203"/>
      <c r="CJ80" s="221">
        <v>44.122348644971524</v>
      </c>
      <c r="CK80" s="217"/>
      <c r="CL80" s="221">
        <v>40.418205700080215</v>
      </c>
      <c r="CM80" s="217"/>
      <c r="CN80" s="221">
        <v>54.842525352698424</v>
      </c>
      <c r="CO80" s="217"/>
      <c r="CP80" s="221">
        <v>47.291490554825536</v>
      </c>
      <c r="CQ80" s="217"/>
      <c r="CR80" s="251">
        <v>42.196287676965632</v>
      </c>
      <c r="CS80" s="247"/>
      <c r="CT80" s="251">
        <v>42.257128377546408</v>
      </c>
      <c r="CU80" s="247"/>
      <c r="CV80" s="251">
        <v>50.6717379681563</v>
      </c>
      <c r="CW80" s="247"/>
      <c r="CX80" s="251">
        <v>43.896499534306116</v>
      </c>
      <c r="CY80" s="247"/>
      <c r="CZ80" s="236">
        <v>48.359852085387431</v>
      </c>
      <c r="DA80" s="232"/>
      <c r="DB80" s="236">
        <v>44.744607733582534</v>
      </c>
      <c r="DC80" s="232"/>
      <c r="DD80" s="236">
        <v>47.990150452677668</v>
      </c>
      <c r="DE80" s="232"/>
      <c r="DF80" s="236">
        <v>46.528737790526385</v>
      </c>
      <c r="DG80" s="232"/>
      <c r="DH80" s="236">
        <v>46.429287976283526</v>
      </c>
      <c r="DI80" s="232"/>
      <c r="DJ80" s="236">
        <v>30.043080955314299</v>
      </c>
      <c r="DK80" s="232"/>
      <c r="DL80" s="267">
        <v>47.376223953702223</v>
      </c>
      <c r="DM80" s="263" t="s">
        <v>229</v>
      </c>
      <c r="DN80" s="267">
        <v>30.121485349403198</v>
      </c>
      <c r="DO80" s="263"/>
      <c r="DP80" s="267">
        <v>53.179834914939491</v>
      </c>
      <c r="DQ80" s="263"/>
      <c r="DR80" s="267">
        <v>46.664388632610056</v>
      </c>
      <c r="DS80" s="263"/>
      <c r="DT80" s="267">
        <v>40.999754933870435</v>
      </c>
      <c r="DU80" s="263"/>
      <c r="DV80" s="267">
        <v>52.291788503996266</v>
      </c>
      <c r="DW80" s="263"/>
      <c r="DX80" s="193">
        <v>45.978711944394576</v>
      </c>
      <c r="DY80" s="189"/>
      <c r="DZ80" s="193">
        <v>32.709881766967285</v>
      </c>
      <c r="EA80" s="189"/>
      <c r="EB80" s="193">
        <v>46.916398466252943</v>
      </c>
      <c r="EC80" s="189"/>
      <c r="ED80" s="193">
        <v>47.872798865755897</v>
      </c>
      <c r="EE80" s="189"/>
      <c r="EF80" s="193">
        <v>48.610817290741132</v>
      </c>
      <c r="EG80" s="189"/>
      <c r="EH80" s="193">
        <v>45.800920999522987</v>
      </c>
      <c r="EI80" s="189"/>
    </row>
    <row r="81" spans="1:139" outlineLevel="1" x14ac:dyDescent="0.2">
      <c r="A81"/>
      <c r="B81" s="7"/>
      <c r="E81" s="187"/>
      <c r="G81" s="187"/>
      <c r="I81" s="201"/>
      <c r="K81" s="201"/>
      <c r="M81" s="201"/>
      <c r="O81" s="201"/>
      <c r="Q81" s="215"/>
      <c r="S81" s="215"/>
      <c r="U81" s="215"/>
      <c r="W81" s="215"/>
      <c r="Y81" s="245"/>
      <c r="AA81" s="245"/>
      <c r="AC81" s="245"/>
      <c r="AE81" s="245"/>
      <c r="AG81" s="245"/>
      <c r="AI81" s="245"/>
      <c r="AK81" s="230"/>
      <c r="AM81" s="230"/>
      <c r="AO81" s="230"/>
      <c r="AQ81" s="230"/>
      <c r="AS81" s="230"/>
      <c r="AU81" s="230"/>
      <c r="AW81" s="261"/>
      <c r="AY81" s="261"/>
      <c r="BA81" s="261"/>
      <c r="BC81" s="261"/>
      <c r="BE81" s="261"/>
      <c r="BG81" s="261"/>
      <c r="BI81" s="261"/>
      <c r="BK81" s="261"/>
      <c r="BM81" s="187"/>
      <c r="BO81" s="187"/>
      <c r="BQ81" s="187"/>
      <c r="BS81" s="187"/>
      <c r="BU81" s="201"/>
      <c r="BW81" s="201"/>
      <c r="BY81" s="201"/>
      <c r="CA81" s="201"/>
      <c r="CC81" s="201"/>
      <c r="CE81" s="201"/>
      <c r="CG81" s="201"/>
      <c r="CI81" s="201"/>
      <c r="CK81" s="215"/>
      <c r="CM81" s="215"/>
      <c r="CO81" s="215"/>
      <c r="CQ81" s="215"/>
      <c r="CS81" s="245"/>
      <c r="CU81" s="245"/>
      <c r="CW81" s="245"/>
      <c r="CY81" s="245"/>
      <c r="DA81" s="230"/>
      <c r="DC81" s="230"/>
      <c r="DE81" s="230"/>
      <c r="DG81" s="230"/>
      <c r="DI81" s="230"/>
      <c r="DK81" s="230"/>
      <c r="DM81" s="261"/>
      <c r="DO81" s="261"/>
      <c r="DQ81" s="261"/>
      <c r="DS81" s="261"/>
      <c r="DU81" s="261"/>
      <c r="DW81" s="261"/>
      <c r="DY81" s="187"/>
      <c r="EA81" s="187"/>
      <c r="EC81" s="187"/>
      <c r="EE81" s="187"/>
      <c r="EG81" s="187"/>
      <c r="EI81" s="187"/>
    </row>
    <row r="82" spans="1:139" outlineLevel="1" x14ac:dyDescent="0.2">
      <c r="A82"/>
      <c r="B82" s="7" t="s">
        <v>96</v>
      </c>
      <c r="C82" s="10">
        <v>22.728683555723862</v>
      </c>
      <c r="D82" s="192">
        <v>20.183212203845748</v>
      </c>
      <c r="E82" s="189"/>
      <c r="F82" s="192">
        <v>25.296442145415128</v>
      </c>
      <c r="G82" s="189"/>
      <c r="H82" s="206">
        <v>0</v>
      </c>
      <c r="I82" s="203"/>
      <c r="J82" s="206">
        <v>0</v>
      </c>
      <c r="K82" s="203"/>
      <c r="L82" s="206">
        <v>20.183212203845748</v>
      </c>
      <c r="M82" s="203"/>
      <c r="N82" s="206">
        <v>25.296442145415128</v>
      </c>
      <c r="O82" s="203"/>
      <c r="P82" s="220">
        <v>9.0477378735819727</v>
      </c>
      <c r="Q82" s="217"/>
      <c r="R82" s="220">
        <v>5.7651737471189088</v>
      </c>
      <c r="S82" s="217"/>
      <c r="T82" s="220">
        <v>22.021967767844295</v>
      </c>
      <c r="U82" s="217"/>
      <c r="V82" s="220">
        <v>29.419510421506516</v>
      </c>
      <c r="W82" s="217" t="s">
        <v>185</v>
      </c>
      <c r="X82" s="250">
        <v>12.063802426594055</v>
      </c>
      <c r="Y82" s="247"/>
      <c r="Z82" s="250">
        <v>20.842299945625953</v>
      </c>
      <c r="AA82" s="247"/>
      <c r="AB82" s="250">
        <v>27.442440552067108</v>
      </c>
      <c r="AC82" s="247"/>
      <c r="AD82" s="250">
        <v>17.147194098271072</v>
      </c>
      <c r="AE82" s="247"/>
      <c r="AF82" s="250">
        <v>26.657214356630899</v>
      </c>
      <c r="AG82" s="247"/>
      <c r="AH82" s="250">
        <v>33.7693870190026</v>
      </c>
      <c r="AI82" s="247"/>
      <c r="AJ82" s="235">
        <v>13.889202063192313</v>
      </c>
      <c r="AK82" s="232"/>
      <c r="AL82" s="235">
        <v>21.805621188098698</v>
      </c>
      <c r="AM82" s="232"/>
      <c r="AN82" s="235">
        <v>28.065953523917706</v>
      </c>
      <c r="AO82" s="232"/>
      <c r="AP82" s="235">
        <v>24.861801950097785</v>
      </c>
      <c r="AQ82" s="232"/>
      <c r="AR82" s="235">
        <v>29.258027166990576</v>
      </c>
      <c r="AS82" s="232"/>
      <c r="AT82" s="235">
        <v>34.804496462533443</v>
      </c>
      <c r="AU82" s="232"/>
      <c r="AV82" s="266">
        <v>19.437636158999897</v>
      </c>
      <c r="AW82" s="263"/>
      <c r="AX82" s="266">
        <v>21.20465607978343</v>
      </c>
      <c r="AY82" s="263"/>
      <c r="AZ82" s="266">
        <v>19.742655636098615</v>
      </c>
      <c r="BA82" s="263"/>
      <c r="BB82" s="266">
        <v>26.382495507036239</v>
      </c>
      <c r="BC82" s="263"/>
      <c r="BD82" s="266">
        <v>22.870535820428739</v>
      </c>
      <c r="BE82" s="263"/>
      <c r="BF82" s="266">
        <v>25.528936416885127</v>
      </c>
      <c r="BG82" s="263"/>
      <c r="BH82" s="266">
        <v>21.178392729500661</v>
      </c>
      <c r="BI82" s="263"/>
      <c r="BJ82" s="266">
        <v>32.445622343845564</v>
      </c>
      <c r="BK82" s="263"/>
      <c r="BL82" s="192">
        <v>20.079850931393292</v>
      </c>
      <c r="BM82" s="189"/>
      <c r="BN82" s="192">
        <v>27.870085810276123</v>
      </c>
      <c r="BO82" s="189"/>
      <c r="BP82" s="192">
        <v>20.260800116584253</v>
      </c>
      <c r="BQ82" s="189"/>
      <c r="BR82" s="192">
        <v>23.521548440463874</v>
      </c>
      <c r="BS82" s="189"/>
      <c r="BT82" s="206">
        <v>21.870757157490843</v>
      </c>
      <c r="BU82" s="203"/>
      <c r="BV82" s="206">
        <v>18.859441755710098</v>
      </c>
      <c r="BW82" s="203"/>
      <c r="BX82" s="206">
        <v>19.544017844430734</v>
      </c>
      <c r="BY82" s="203"/>
      <c r="BZ82" s="206">
        <v>25.019888735724113</v>
      </c>
      <c r="CA82" s="203"/>
      <c r="CB82" s="206">
        <v>18.882319448965397</v>
      </c>
      <c r="CC82" s="203"/>
      <c r="CD82" s="206">
        <v>28.365334978532665</v>
      </c>
      <c r="CE82" s="203"/>
      <c r="CF82" s="206">
        <v>22.234643934932407</v>
      </c>
      <c r="CG82" s="203"/>
      <c r="CH82" s="206">
        <v>27.301058184207331</v>
      </c>
      <c r="CI82" s="203"/>
      <c r="CJ82" s="220">
        <v>21.051119510349654</v>
      </c>
      <c r="CK82" s="217"/>
      <c r="CL82" s="220">
        <v>26.320248243518428</v>
      </c>
      <c r="CM82" s="217"/>
      <c r="CN82" s="220">
        <v>17.976902652036213</v>
      </c>
      <c r="CO82" s="217"/>
      <c r="CP82" s="220">
        <v>22.227253324852068</v>
      </c>
      <c r="CQ82" s="217"/>
      <c r="CR82" s="250">
        <v>23.597544171234343</v>
      </c>
      <c r="CS82" s="247"/>
      <c r="CT82" s="250">
        <v>28.940973054804161</v>
      </c>
      <c r="CU82" s="247"/>
      <c r="CV82" s="250">
        <v>17.711753736228527</v>
      </c>
      <c r="CW82" s="247"/>
      <c r="CX82" s="250">
        <v>21.988270335299596</v>
      </c>
      <c r="CY82" s="247"/>
      <c r="CZ82" s="235">
        <v>24.01447658182634</v>
      </c>
      <c r="DA82" s="232"/>
      <c r="DB82" s="235">
        <v>25.13350633670192</v>
      </c>
      <c r="DC82" s="232"/>
      <c r="DD82" s="235">
        <v>10.788314753122556</v>
      </c>
      <c r="DE82" s="232"/>
      <c r="DF82" s="235">
        <v>27.304866954373718</v>
      </c>
      <c r="DG82" s="232" t="s">
        <v>224</v>
      </c>
      <c r="DH82" s="235">
        <v>13.559283947565675</v>
      </c>
      <c r="DI82" s="232"/>
      <c r="DJ82" s="235">
        <v>24.594007117381871</v>
      </c>
      <c r="DK82" s="232"/>
      <c r="DL82" s="266">
        <v>12.063802426594055</v>
      </c>
      <c r="DM82" s="263"/>
      <c r="DN82" s="266">
        <v>17.147194098271072</v>
      </c>
      <c r="DO82" s="263"/>
      <c r="DP82" s="266">
        <v>27.442440552067108</v>
      </c>
      <c r="DQ82" s="263"/>
      <c r="DR82" s="266">
        <v>33.7693870190026</v>
      </c>
      <c r="DS82" s="263"/>
      <c r="DT82" s="266">
        <v>20.842299945625953</v>
      </c>
      <c r="DU82" s="263"/>
      <c r="DV82" s="266">
        <v>26.657214356630899</v>
      </c>
      <c r="DW82" s="263"/>
      <c r="DX82" s="192">
        <v>13.661494267613943</v>
      </c>
      <c r="DY82" s="189"/>
      <c r="DZ82" s="192">
        <v>26.029933025459997</v>
      </c>
      <c r="EA82" s="189" t="s">
        <v>234</v>
      </c>
      <c r="EB82" s="192">
        <v>21.864457413880718</v>
      </c>
      <c r="EC82" s="189"/>
      <c r="ED82" s="192">
        <v>22.44086173603824</v>
      </c>
      <c r="EE82" s="189"/>
      <c r="EF82" s="192">
        <v>23.54892944228564</v>
      </c>
      <c r="EG82" s="189"/>
      <c r="EH82" s="192">
        <v>28.582266172531462</v>
      </c>
      <c r="EI82" s="189"/>
    </row>
    <row r="83" spans="1:139" outlineLevel="1" x14ac:dyDescent="0.2">
      <c r="A83"/>
      <c r="B83" s="11" t="s">
        <v>97</v>
      </c>
      <c r="C83" s="12">
        <v>6.9398713607611802</v>
      </c>
      <c r="D83" s="193">
        <v>5.9996093533219659</v>
      </c>
      <c r="E83" s="189"/>
      <c r="F83" s="193">
        <v>7.8883659664384407</v>
      </c>
      <c r="G83" s="189"/>
      <c r="H83" s="207">
        <v>0</v>
      </c>
      <c r="I83" s="203"/>
      <c r="J83" s="207">
        <v>0</v>
      </c>
      <c r="K83" s="203"/>
      <c r="L83" s="207">
        <v>5.9996093533219659</v>
      </c>
      <c r="M83" s="203"/>
      <c r="N83" s="207">
        <v>7.8883659664384407</v>
      </c>
      <c r="O83" s="203"/>
      <c r="P83" s="221">
        <v>5.4145152312033327</v>
      </c>
      <c r="Q83" s="217"/>
      <c r="R83" s="221">
        <v>5.7651737471189088</v>
      </c>
      <c r="S83" s="217"/>
      <c r="T83" s="221">
        <v>6.0962235648589251</v>
      </c>
      <c r="U83" s="217"/>
      <c r="V83" s="221">
        <v>8.3365737481861988</v>
      </c>
      <c r="W83" s="217"/>
      <c r="X83" s="251">
        <v>6.5378810152124585</v>
      </c>
      <c r="Y83" s="247"/>
      <c r="Z83" s="251">
        <v>8.1880805961233598</v>
      </c>
      <c r="AA83" s="247"/>
      <c r="AB83" s="251">
        <v>6.0833805454574073</v>
      </c>
      <c r="AC83" s="247"/>
      <c r="AD83" s="251">
        <v>5.8119684067254607</v>
      </c>
      <c r="AE83" s="247"/>
      <c r="AF83" s="251">
        <v>5.4296380921294221</v>
      </c>
      <c r="AG83" s="247"/>
      <c r="AH83" s="251">
        <v>10.465098619891034</v>
      </c>
      <c r="AI83" s="247"/>
      <c r="AJ83" s="236">
        <v>6.6271597282899748</v>
      </c>
      <c r="AK83" s="232"/>
      <c r="AL83" s="236">
        <v>8.1765144924015924</v>
      </c>
      <c r="AM83" s="232"/>
      <c r="AN83" s="236">
        <v>6.4572270955267452</v>
      </c>
      <c r="AO83" s="232"/>
      <c r="AP83" s="236">
        <v>7.4343004992710862</v>
      </c>
      <c r="AQ83" s="232"/>
      <c r="AR83" s="236">
        <v>5.1361504886941587</v>
      </c>
      <c r="AS83" s="232"/>
      <c r="AT83" s="236">
        <v>9.4351729674937452</v>
      </c>
      <c r="AU83" s="232"/>
      <c r="AV83" s="267">
        <v>9.6015341587004084</v>
      </c>
      <c r="AW83" s="263"/>
      <c r="AX83" s="267">
        <v>8.9217226804499532</v>
      </c>
      <c r="AY83" s="263"/>
      <c r="AZ83" s="267">
        <v>4.5317858330012735</v>
      </c>
      <c r="BA83" s="263"/>
      <c r="BB83" s="267">
        <v>6.9226834841936826</v>
      </c>
      <c r="BC83" s="263"/>
      <c r="BD83" s="267">
        <v>6.1011139987819361</v>
      </c>
      <c r="BE83" s="263"/>
      <c r="BF83" s="267">
        <v>8.2572395116844461</v>
      </c>
      <c r="BG83" s="263"/>
      <c r="BH83" s="267">
        <v>0</v>
      </c>
      <c r="BI83" s="263"/>
      <c r="BJ83" s="267">
        <v>9.0049712233600463</v>
      </c>
      <c r="BK83" s="263"/>
      <c r="BL83" s="193">
        <v>8.309927692589774</v>
      </c>
      <c r="BM83" s="189"/>
      <c r="BN83" s="193">
        <v>9.3285982932071843</v>
      </c>
      <c r="BO83" s="189"/>
      <c r="BP83" s="193">
        <v>4.2653739530395969</v>
      </c>
      <c r="BQ83" s="189"/>
      <c r="BR83" s="193">
        <v>6.8951207377570993</v>
      </c>
      <c r="BS83" s="189"/>
      <c r="BT83" s="207">
        <v>3.0857509939753807</v>
      </c>
      <c r="BU83" s="203"/>
      <c r="BV83" s="207">
        <v>4.87737365575222</v>
      </c>
      <c r="BW83" s="203"/>
      <c r="BX83" s="207">
        <v>6.2022685207156751</v>
      </c>
      <c r="BY83" s="203"/>
      <c r="BZ83" s="207">
        <v>6.8628458703944375</v>
      </c>
      <c r="CA83" s="203"/>
      <c r="CB83" s="207">
        <v>8.0376631760695787</v>
      </c>
      <c r="CC83" s="203"/>
      <c r="CD83" s="207">
        <v>10.812988680860707</v>
      </c>
      <c r="CE83" s="203"/>
      <c r="CF83" s="207">
        <v>5.1444190464782782</v>
      </c>
      <c r="CG83" s="203"/>
      <c r="CH83" s="207">
        <v>8.9324618736383439</v>
      </c>
      <c r="CI83" s="203"/>
      <c r="CJ83" s="221">
        <v>5.7856021342275676</v>
      </c>
      <c r="CK83" s="217"/>
      <c r="CL83" s="221">
        <v>8.9077197034477287</v>
      </c>
      <c r="CM83" s="217"/>
      <c r="CN83" s="221">
        <v>6.3400140759461276</v>
      </c>
      <c r="CO83" s="217"/>
      <c r="CP83" s="221">
        <v>7.1446028172314806</v>
      </c>
      <c r="CQ83" s="217"/>
      <c r="CR83" s="251">
        <v>7.1043982402955974</v>
      </c>
      <c r="CS83" s="247"/>
      <c r="CT83" s="251">
        <v>10.614831069214508</v>
      </c>
      <c r="CU83" s="247"/>
      <c r="CV83" s="251">
        <v>5.1978935912212965</v>
      </c>
      <c r="CW83" s="247"/>
      <c r="CX83" s="251">
        <v>5.998864871158025</v>
      </c>
      <c r="CY83" s="247"/>
      <c r="CZ83" s="236">
        <v>7.7567398958142686</v>
      </c>
      <c r="DA83" s="232"/>
      <c r="DB83" s="236">
        <v>7.0619496422010881</v>
      </c>
      <c r="DC83" s="232"/>
      <c r="DD83" s="236">
        <v>2.1757167103971966</v>
      </c>
      <c r="DE83" s="232"/>
      <c r="DF83" s="236">
        <v>9.7318043635209897</v>
      </c>
      <c r="DG83" s="232"/>
      <c r="DH83" s="236">
        <v>2.5220415808624663</v>
      </c>
      <c r="DI83" s="232"/>
      <c r="DJ83" s="236">
        <v>9.425430319105109</v>
      </c>
      <c r="DK83" s="232"/>
      <c r="DL83" s="267">
        <v>6.5378810152124585</v>
      </c>
      <c r="DM83" s="263"/>
      <c r="DN83" s="267">
        <v>5.8119684067254607</v>
      </c>
      <c r="DO83" s="263"/>
      <c r="DP83" s="267">
        <v>6.0833805454574073</v>
      </c>
      <c r="DQ83" s="263"/>
      <c r="DR83" s="267">
        <v>10.465098619891034</v>
      </c>
      <c r="DS83" s="263"/>
      <c r="DT83" s="267">
        <v>8.1880805961233598</v>
      </c>
      <c r="DU83" s="263"/>
      <c r="DV83" s="267">
        <v>5.4296380921294221</v>
      </c>
      <c r="DW83" s="263"/>
      <c r="DX83" s="193">
        <v>5.0141321911308321</v>
      </c>
      <c r="DY83" s="189"/>
      <c r="DZ83" s="193">
        <v>13.177011049590174</v>
      </c>
      <c r="EA83" s="189"/>
      <c r="EB83" s="193">
        <v>6.1595035340858342</v>
      </c>
      <c r="EC83" s="189"/>
      <c r="ED83" s="193">
        <v>7.5989091782322511</v>
      </c>
      <c r="EE83" s="189"/>
      <c r="EF83" s="193">
        <v>6.6500209694958787</v>
      </c>
      <c r="EG83" s="189"/>
      <c r="EH83" s="193">
        <v>3.2756944189630497</v>
      </c>
      <c r="EI83" s="189"/>
    </row>
    <row r="84" spans="1:139" outlineLevel="1" x14ac:dyDescent="0.2">
      <c r="A84"/>
      <c r="B84" s="11" t="s">
        <v>98</v>
      </c>
      <c r="C84" s="12">
        <v>15.788812194962683</v>
      </c>
      <c r="D84" s="193">
        <v>14.183602850523783</v>
      </c>
      <c r="E84" s="189"/>
      <c r="F84" s="193">
        <v>17.408076178976689</v>
      </c>
      <c r="G84" s="189"/>
      <c r="H84" s="207">
        <v>0</v>
      </c>
      <c r="I84" s="203"/>
      <c r="J84" s="207">
        <v>0</v>
      </c>
      <c r="K84" s="203"/>
      <c r="L84" s="207">
        <v>14.183602850523783</v>
      </c>
      <c r="M84" s="203"/>
      <c r="N84" s="207">
        <v>17.408076178976689</v>
      </c>
      <c r="O84" s="203"/>
      <c r="P84" s="221">
        <v>3.63322264237864</v>
      </c>
      <c r="Q84" s="217"/>
      <c r="R84" s="221">
        <v>0</v>
      </c>
      <c r="S84" s="217"/>
      <c r="T84" s="221">
        <v>15.925744202985369</v>
      </c>
      <c r="U84" s="217"/>
      <c r="V84" s="221">
        <v>21.082936673320319</v>
      </c>
      <c r="W84" s="217"/>
      <c r="X84" s="251">
        <v>5.5259214113815966</v>
      </c>
      <c r="Y84" s="247"/>
      <c r="Z84" s="251">
        <v>12.654219349502592</v>
      </c>
      <c r="AA84" s="247"/>
      <c r="AB84" s="251">
        <v>21.359060006609699</v>
      </c>
      <c r="AC84" s="247"/>
      <c r="AD84" s="251">
        <v>11.335225691545611</v>
      </c>
      <c r="AE84" s="247"/>
      <c r="AF84" s="251">
        <v>21.227576264501476</v>
      </c>
      <c r="AG84" s="247"/>
      <c r="AH84" s="251">
        <v>23.304288399111567</v>
      </c>
      <c r="AI84" s="247"/>
      <c r="AJ84" s="236">
        <v>7.2620423349023371</v>
      </c>
      <c r="AK84" s="232"/>
      <c r="AL84" s="236">
        <v>13.629106695697105</v>
      </c>
      <c r="AM84" s="232"/>
      <c r="AN84" s="236">
        <v>21.608726428390959</v>
      </c>
      <c r="AO84" s="232"/>
      <c r="AP84" s="236">
        <v>17.4275014508267</v>
      </c>
      <c r="AQ84" s="232"/>
      <c r="AR84" s="236">
        <v>24.121876678296417</v>
      </c>
      <c r="AS84" s="232"/>
      <c r="AT84" s="236">
        <v>25.369323495039694</v>
      </c>
      <c r="AU84" s="232"/>
      <c r="AV84" s="267">
        <v>9.8361020002994888</v>
      </c>
      <c r="AW84" s="263"/>
      <c r="AX84" s="267">
        <v>12.282933399333476</v>
      </c>
      <c r="AY84" s="263"/>
      <c r="AZ84" s="267">
        <v>15.21086980309734</v>
      </c>
      <c r="BA84" s="263"/>
      <c r="BB84" s="267">
        <v>19.459812022842556</v>
      </c>
      <c r="BC84" s="263"/>
      <c r="BD84" s="267">
        <v>16.769421821646802</v>
      </c>
      <c r="BE84" s="263"/>
      <c r="BF84" s="267">
        <v>17.271696905200681</v>
      </c>
      <c r="BG84" s="263"/>
      <c r="BH84" s="267">
        <v>21.178392729500661</v>
      </c>
      <c r="BI84" s="263"/>
      <c r="BJ84" s="267">
        <v>23.440651120485519</v>
      </c>
      <c r="BK84" s="263"/>
      <c r="BL84" s="193">
        <v>11.769923238803518</v>
      </c>
      <c r="BM84" s="189"/>
      <c r="BN84" s="193">
        <v>18.541487517068937</v>
      </c>
      <c r="BO84" s="189"/>
      <c r="BP84" s="193">
        <v>15.995426163544657</v>
      </c>
      <c r="BQ84" s="189"/>
      <c r="BR84" s="193">
        <v>16.626427702706774</v>
      </c>
      <c r="BS84" s="189"/>
      <c r="BT84" s="207">
        <v>18.785006163515462</v>
      </c>
      <c r="BU84" s="203"/>
      <c r="BV84" s="207">
        <v>13.982068099957878</v>
      </c>
      <c r="BW84" s="203"/>
      <c r="BX84" s="207">
        <v>13.341749323715058</v>
      </c>
      <c r="BY84" s="203"/>
      <c r="BZ84" s="207">
        <v>18.157042865329675</v>
      </c>
      <c r="CA84" s="203"/>
      <c r="CB84" s="207">
        <v>10.844656272895817</v>
      </c>
      <c r="CC84" s="203"/>
      <c r="CD84" s="207">
        <v>17.55234629767196</v>
      </c>
      <c r="CE84" s="203"/>
      <c r="CF84" s="207">
        <v>17.090224888454131</v>
      </c>
      <c r="CG84" s="203"/>
      <c r="CH84" s="207">
        <v>18.368596310568986</v>
      </c>
      <c r="CI84" s="203"/>
      <c r="CJ84" s="221">
        <v>15.265517376122085</v>
      </c>
      <c r="CK84" s="217"/>
      <c r="CL84" s="221">
        <v>17.412528540070699</v>
      </c>
      <c r="CM84" s="217"/>
      <c r="CN84" s="221">
        <v>11.636888576090085</v>
      </c>
      <c r="CO84" s="217"/>
      <c r="CP84" s="221">
        <v>15.082650507620587</v>
      </c>
      <c r="CQ84" s="217"/>
      <c r="CR84" s="251">
        <v>16.493145930938745</v>
      </c>
      <c r="CS84" s="247"/>
      <c r="CT84" s="251">
        <v>18.326141985589654</v>
      </c>
      <c r="CU84" s="247"/>
      <c r="CV84" s="251">
        <v>12.513860145007229</v>
      </c>
      <c r="CW84" s="247"/>
      <c r="CX84" s="251">
        <v>15.989405464141569</v>
      </c>
      <c r="CY84" s="247"/>
      <c r="CZ84" s="236">
        <v>16.257736686012073</v>
      </c>
      <c r="DA84" s="232"/>
      <c r="DB84" s="236">
        <v>18.071556694500835</v>
      </c>
      <c r="DC84" s="232"/>
      <c r="DD84" s="236">
        <v>8.6125980427253594</v>
      </c>
      <c r="DE84" s="232"/>
      <c r="DF84" s="236">
        <v>17.573062590852729</v>
      </c>
      <c r="DG84" s="232"/>
      <c r="DH84" s="236">
        <v>11.037242366703207</v>
      </c>
      <c r="DI84" s="232"/>
      <c r="DJ84" s="236">
        <v>15.168576798276762</v>
      </c>
      <c r="DK84" s="232"/>
      <c r="DL84" s="267">
        <v>5.5259214113815966</v>
      </c>
      <c r="DM84" s="263"/>
      <c r="DN84" s="267">
        <v>11.335225691545611</v>
      </c>
      <c r="DO84" s="263"/>
      <c r="DP84" s="267">
        <v>21.359060006609699</v>
      </c>
      <c r="DQ84" s="263"/>
      <c r="DR84" s="267">
        <v>23.304288399111567</v>
      </c>
      <c r="DS84" s="263"/>
      <c r="DT84" s="267">
        <v>12.654219349502592</v>
      </c>
      <c r="DU84" s="263"/>
      <c r="DV84" s="267">
        <v>21.227576264501476</v>
      </c>
      <c r="DW84" s="263"/>
      <c r="DX84" s="193">
        <v>8.6473620764831107</v>
      </c>
      <c r="DY84" s="189"/>
      <c r="DZ84" s="193">
        <v>12.852921975869823</v>
      </c>
      <c r="EA84" s="189"/>
      <c r="EB84" s="193">
        <v>15.704953879794884</v>
      </c>
      <c r="EC84" s="189"/>
      <c r="ED84" s="193">
        <v>14.841952557805989</v>
      </c>
      <c r="EE84" s="189"/>
      <c r="EF84" s="193">
        <v>16.89890847278976</v>
      </c>
      <c r="EG84" s="189"/>
      <c r="EH84" s="193">
        <v>25.306571753568413</v>
      </c>
      <c r="EI84" s="189"/>
    </row>
    <row r="85" spans="1:139" x14ac:dyDescent="0.2">
      <c r="A85"/>
      <c r="B85"/>
      <c r="E85" s="187"/>
      <c r="G85" s="187"/>
      <c r="I85" s="201"/>
      <c r="K85" s="201"/>
      <c r="M85" s="201"/>
      <c r="O85" s="201"/>
      <c r="Q85" s="215"/>
      <c r="S85" s="215"/>
      <c r="U85" s="215"/>
      <c r="W85" s="215"/>
      <c r="Y85" s="245"/>
      <c r="AA85" s="245"/>
      <c r="AC85" s="245"/>
      <c r="AE85" s="245"/>
      <c r="AG85" s="245"/>
      <c r="AI85" s="245"/>
      <c r="AK85" s="230"/>
      <c r="AM85" s="230"/>
      <c r="AO85" s="230"/>
      <c r="AQ85" s="230"/>
      <c r="AS85" s="230"/>
      <c r="AU85" s="230"/>
      <c r="AW85" s="261"/>
      <c r="AY85" s="261"/>
      <c r="BA85" s="261"/>
      <c r="BC85" s="261"/>
      <c r="BE85" s="261"/>
      <c r="BG85" s="261"/>
      <c r="BI85" s="261"/>
      <c r="BK85" s="261"/>
      <c r="BM85" s="187"/>
      <c r="BO85" s="187"/>
      <c r="BQ85" s="187"/>
      <c r="BS85" s="187"/>
      <c r="BU85" s="201"/>
      <c r="BW85" s="201"/>
      <c r="BY85" s="201"/>
      <c r="CA85" s="201"/>
      <c r="CC85" s="201"/>
      <c r="CE85" s="201"/>
      <c r="CG85" s="201"/>
      <c r="CI85" s="201"/>
      <c r="CK85" s="215"/>
      <c r="CM85" s="215"/>
      <c r="CO85" s="215"/>
      <c r="CQ85" s="215"/>
      <c r="CS85" s="245"/>
      <c r="CU85" s="245"/>
      <c r="CW85" s="245"/>
      <c r="CY85" s="245"/>
      <c r="DA85" s="230"/>
      <c r="DC85" s="230"/>
      <c r="DE85" s="230"/>
      <c r="DG85" s="230"/>
      <c r="DI85" s="230"/>
      <c r="DK85" s="230"/>
      <c r="DM85" s="261"/>
      <c r="DO85" s="261"/>
      <c r="DQ85" s="261"/>
      <c r="DS85" s="261"/>
      <c r="DU85" s="261"/>
      <c r="DW85" s="261"/>
      <c r="DY85" s="187"/>
      <c r="EA85" s="187"/>
      <c r="EC85" s="187"/>
      <c r="EE85" s="187"/>
      <c r="EG85" s="187"/>
      <c r="EI85" s="187"/>
    </row>
    <row r="86" spans="1:139" x14ac:dyDescent="0.2">
      <c r="A86"/>
      <c r="B86"/>
      <c r="E86" s="187"/>
      <c r="G86" s="187"/>
      <c r="I86" s="201"/>
      <c r="K86" s="201"/>
      <c r="M86" s="201"/>
      <c r="O86" s="201"/>
      <c r="Q86" s="215"/>
      <c r="S86" s="215"/>
      <c r="U86" s="215"/>
      <c r="W86" s="215"/>
      <c r="Y86" s="245"/>
      <c r="AA86" s="245"/>
      <c r="AC86" s="245"/>
      <c r="AE86" s="245"/>
      <c r="AG86" s="245"/>
      <c r="AI86" s="245"/>
      <c r="AK86" s="230"/>
      <c r="AM86" s="230"/>
      <c r="AO86" s="230"/>
      <c r="AQ86" s="230"/>
      <c r="AS86" s="230"/>
      <c r="AU86" s="230"/>
      <c r="AW86" s="261"/>
      <c r="AY86" s="261"/>
      <c r="BA86" s="261"/>
      <c r="BC86" s="261"/>
      <c r="BE86" s="261"/>
      <c r="BG86" s="261"/>
      <c r="BI86" s="261"/>
      <c r="BK86" s="261"/>
      <c r="BM86" s="187"/>
      <c r="BO86" s="187"/>
      <c r="BQ86" s="187"/>
      <c r="BS86" s="187"/>
      <c r="BU86" s="201"/>
      <c r="BW86" s="201"/>
      <c r="BY86" s="201"/>
      <c r="CA86" s="201"/>
      <c r="CC86" s="201"/>
      <c r="CE86" s="201"/>
      <c r="CG86" s="201"/>
      <c r="CI86" s="201"/>
      <c r="CK86" s="215"/>
      <c r="CM86" s="215"/>
      <c r="CO86" s="215"/>
      <c r="CQ86" s="215"/>
      <c r="CS86" s="245"/>
      <c r="CU86" s="245"/>
      <c r="CW86" s="245"/>
      <c r="CY86" s="245"/>
      <c r="DA86" s="230"/>
      <c r="DC86" s="230"/>
      <c r="DE86" s="230"/>
      <c r="DG86" s="230"/>
      <c r="DI86" s="230"/>
      <c r="DK86" s="230"/>
      <c r="DM86" s="261"/>
      <c r="DO86" s="261"/>
      <c r="DQ86" s="261"/>
      <c r="DS86" s="261"/>
      <c r="DU86" s="261"/>
      <c r="DW86" s="261"/>
      <c r="DY86" s="187"/>
      <c r="EA86" s="187"/>
      <c r="EC86" s="187"/>
      <c r="EE86" s="187"/>
      <c r="EG86" s="187"/>
      <c r="EI86" s="187"/>
    </row>
    <row r="87" spans="1:139" x14ac:dyDescent="0.2">
      <c r="A87" s="6" t="s">
        <v>111</v>
      </c>
      <c r="B87" s="7" t="s">
        <v>113</v>
      </c>
      <c r="E87" s="187"/>
      <c r="G87" s="187"/>
      <c r="I87" s="201"/>
      <c r="K87" s="201"/>
      <c r="M87" s="201"/>
      <c r="O87" s="201"/>
      <c r="Q87" s="215"/>
      <c r="S87" s="215"/>
      <c r="U87" s="215"/>
      <c r="W87" s="215"/>
      <c r="Y87" s="245"/>
      <c r="AA87" s="245"/>
      <c r="AC87" s="245"/>
      <c r="AE87" s="245"/>
      <c r="AG87" s="245"/>
      <c r="AI87" s="245"/>
      <c r="AK87" s="230"/>
      <c r="AM87" s="230"/>
      <c r="AO87" s="230"/>
      <c r="AQ87" s="230"/>
      <c r="AS87" s="230"/>
      <c r="AU87" s="230"/>
      <c r="AW87" s="261"/>
      <c r="AY87" s="261"/>
      <c r="BA87" s="261"/>
      <c r="BC87" s="261"/>
      <c r="BE87" s="261"/>
      <c r="BG87" s="261"/>
      <c r="BI87" s="261"/>
      <c r="BK87" s="261"/>
      <c r="BM87" s="187"/>
      <c r="BO87" s="187"/>
      <c r="BQ87" s="187"/>
      <c r="BS87" s="187"/>
      <c r="BU87" s="201"/>
      <c r="BW87" s="201"/>
      <c r="BY87" s="201"/>
      <c r="CA87" s="201"/>
      <c r="CC87" s="201"/>
      <c r="CE87" s="201"/>
      <c r="CG87" s="201"/>
      <c r="CI87" s="201"/>
      <c r="CK87" s="215"/>
      <c r="CM87" s="215"/>
      <c r="CO87" s="215"/>
      <c r="CQ87" s="215"/>
      <c r="CS87" s="245"/>
      <c r="CU87" s="245"/>
      <c r="CW87" s="245"/>
      <c r="CY87" s="245"/>
      <c r="DA87" s="230"/>
      <c r="DC87" s="230"/>
      <c r="DE87" s="230"/>
      <c r="DG87" s="230"/>
      <c r="DI87" s="230"/>
      <c r="DK87" s="230"/>
      <c r="DM87" s="261"/>
      <c r="DO87" s="261"/>
      <c r="DQ87" s="261"/>
      <c r="DS87" s="261"/>
      <c r="DU87" s="261"/>
      <c r="DW87" s="261"/>
      <c r="DY87" s="187"/>
      <c r="EA87" s="187"/>
      <c r="EC87" s="187"/>
      <c r="EE87" s="187"/>
      <c r="EG87" s="187"/>
      <c r="EI87" s="187"/>
    </row>
    <row r="88" spans="1:139" outlineLevel="1" x14ac:dyDescent="0.2">
      <c r="A88"/>
      <c r="B88" s="9" t="s">
        <v>114</v>
      </c>
      <c r="C88" s="8">
        <f>1127.63403195519+58.3659680448118</f>
        <v>1186.0000000000018</v>
      </c>
      <c r="D88" s="188">
        <f>568.316652869327+23.683347130673</f>
        <v>592</v>
      </c>
      <c r="E88" s="189"/>
      <c r="F88" s="188">
        <f>559.627578791725+34.3724212082748</f>
        <v>593.99999999999977</v>
      </c>
      <c r="G88" s="189"/>
      <c r="H88" s="202">
        <f>354.773898130019+15.2261018699813</f>
        <v>370.00000000000028</v>
      </c>
      <c r="I88" s="203"/>
      <c r="J88" s="202">
        <f>367.194753230535+19.8052467694654</f>
        <v>387.0000000000004</v>
      </c>
      <c r="K88" s="203"/>
      <c r="L88" s="202">
        <f>213.545041128179+8.45495887182145</f>
        <v>222.00000000000045</v>
      </c>
      <c r="M88" s="203"/>
      <c r="N88" s="202">
        <f>192.56874485788+14.4312551421196</f>
        <v>206.9999999999996</v>
      </c>
      <c r="O88" s="203"/>
      <c r="P88" s="216">
        <f>396.125213770102+16.8747862298979</f>
        <v>412.99999999999989</v>
      </c>
      <c r="Q88" s="217"/>
      <c r="R88" s="216">
        <f>414.763015501123+24.2369844988771</f>
        <v>439.00000000000011</v>
      </c>
      <c r="S88" s="217"/>
      <c r="T88" s="216">
        <f>172.194491900551+6.80550809944936</f>
        <v>179.00000000000034</v>
      </c>
      <c r="U88" s="217"/>
      <c r="V88" s="216">
        <f>144.864994111775+10.1350058882249</f>
        <v>154.99999999999989</v>
      </c>
      <c r="W88" s="217"/>
      <c r="X88" s="246">
        <f>84.6095860991922+4.39041390080779</f>
        <v>88.999999999999986</v>
      </c>
      <c r="Y88" s="247"/>
      <c r="Z88" s="246">
        <f>66.6842814547448+2.31571854525515</f>
        <v>68.999999999999957</v>
      </c>
      <c r="AA88" s="247"/>
      <c r="AB88" s="246">
        <f>39.1637526475975+0.836247352402516</f>
        <v>40.000000000000014</v>
      </c>
      <c r="AC88" s="247"/>
      <c r="AD88" s="246">
        <f>66.8207094010379+6.17929059896206</f>
        <v>72.999999999999957</v>
      </c>
      <c r="AE88" s="247"/>
      <c r="AF88" s="246">
        <f>44.085330139164+2.91466986083598</f>
        <v>46.999999999999979</v>
      </c>
      <c r="AG88" s="247"/>
      <c r="AH88" s="246">
        <f>42.8711041100852+2.12889588991478</f>
        <v>44.999999999999979</v>
      </c>
      <c r="AI88" s="247"/>
      <c r="AJ88" s="231">
        <f>61.6952192239768+3.30478077602325</f>
        <v>65.000000000000057</v>
      </c>
      <c r="AK88" s="232"/>
      <c r="AL88" s="231">
        <f>54.9855390088669+2.01446099113308</f>
        <v>56.999999999999979</v>
      </c>
      <c r="AM88" s="232"/>
      <c r="AN88" s="231">
        <f>36.2546503213277+0.745349678672333</f>
        <v>37.000000000000036</v>
      </c>
      <c r="AO88" s="232"/>
      <c r="AP88" s="231">
        <f>40.446777421297+2.55322257870305</f>
        <v>43.00000000000005</v>
      </c>
      <c r="AQ88" s="232"/>
      <c r="AR88" s="231">
        <f>38.2912112852989+2.70878871470107</f>
        <v>40.999999999999972</v>
      </c>
      <c r="AS88" s="232"/>
      <c r="AT88" s="231">
        <f>34.9822361712846+2.01776382871537</f>
        <v>36.999999999999964</v>
      </c>
      <c r="AU88" s="232"/>
      <c r="AV88" s="262">
        <f>133.821221630758+5.17877836924217</f>
        <v>139.00000000000017</v>
      </c>
      <c r="AW88" s="263"/>
      <c r="AX88" s="262">
        <f>134.37528924088+5.62471075912001</f>
        <v>140</v>
      </c>
      <c r="AY88" s="263"/>
      <c r="AZ88" s="262">
        <f>249.671883618841+9.32811638115948</f>
        <v>259.00000000000051</v>
      </c>
      <c r="BA88" s="263"/>
      <c r="BB88" s="262">
        <f>248.013881859777+16.9861181402235</f>
        <v>265.00000000000051</v>
      </c>
      <c r="BC88" s="263"/>
      <c r="BD88" s="262">
        <f>94.7526849105701+4.24731508942988</f>
        <v>98.999999999999972</v>
      </c>
      <c r="BE88" s="263"/>
      <c r="BF88" s="262">
        <f>96.2365516607619+2.76344833923808</f>
        <v>98.999999999999986</v>
      </c>
      <c r="BG88" s="263"/>
      <c r="BH88" s="262">
        <f>93.6381677866685+1.36183221333147</f>
        <v>94.999999999999972</v>
      </c>
      <c r="BI88" s="263"/>
      <c r="BJ88" s="262">
        <f>87.6557391257674+2.34426087423265</f>
        <v>90.000000000000043</v>
      </c>
      <c r="BK88" s="263"/>
      <c r="BL88" s="188">
        <f>262.815183797497+13.1848162025025</f>
        <v>275.99999999999949</v>
      </c>
      <c r="BM88" s="189"/>
      <c r="BN88" s="188">
        <f>258.407297789954+11.5927022100463</f>
        <v>270.00000000000028</v>
      </c>
      <c r="BO88" s="189"/>
      <c r="BP88" s="188">
        <f>306.459856616873+9.54014338312703</f>
        <v>316.00000000000006</v>
      </c>
      <c r="BQ88" s="189"/>
      <c r="BR88" s="188">
        <f>301.291194616798+22.7088053832025</f>
        <v>324.00000000000051</v>
      </c>
      <c r="BS88" s="189"/>
      <c r="BT88" s="202">
        <f>112.124471365003+3.87552863499718</f>
        <v>116.00000000000018</v>
      </c>
      <c r="BU88" s="203"/>
      <c r="BV88" s="202">
        <f>111.035479893617+2.96452010638252</f>
        <v>113.99999999999952</v>
      </c>
      <c r="BW88" s="203"/>
      <c r="BX88" s="202">
        <f>217.634145610589+7.36585438941108</f>
        <v>225.00000000000009</v>
      </c>
      <c r="BY88" s="203"/>
      <c r="BZ88" s="202">
        <f>246.443508784568+4.55649121543206</f>
        <v>251.00000000000006</v>
      </c>
      <c r="CA88" s="203"/>
      <c r="CB88" s="202">
        <f>115.975465123193+3.02453487680673</f>
        <v>118.99999999999973</v>
      </c>
      <c r="CC88" s="203"/>
      <c r="CD88" s="202">
        <f>117.342609775728+4.65739022427189</f>
        <v>121.99999999999989</v>
      </c>
      <c r="CE88" s="203"/>
      <c r="CF88" s="202">
        <f>124.471061315527+7.5289386844734</f>
        <v>132.0000000000004</v>
      </c>
      <c r="CG88" s="203"/>
      <c r="CH88" s="202">
        <f>97.7478203147634+9.2521796852366</f>
        <v>107</v>
      </c>
      <c r="CI88" s="203"/>
      <c r="CJ88" s="216">
        <f>264.197734773056+9.80226522694358</f>
        <v>273.9999999999996</v>
      </c>
      <c r="CK88" s="217"/>
      <c r="CL88" s="216">
        <f>272.144157385418+17.8558426145815</f>
        <v>289.99999999999949</v>
      </c>
      <c r="CM88" s="217"/>
      <c r="CN88" s="216">
        <f>281.176921815192+12.8230781848084</f>
        <v>294.0000000000004</v>
      </c>
      <c r="CO88" s="217"/>
      <c r="CP88" s="216">
        <f>271.254534372479+15.7454656275207</f>
        <v>286.99999999999966</v>
      </c>
      <c r="CQ88" s="217"/>
      <c r="CR88" s="246">
        <f>163.588744965683+6.41125503431712</f>
        <v>170.00000000000011</v>
      </c>
      <c r="CS88" s="247"/>
      <c r="CT88" s="246">
        <f>168.250986718344+7.74901328165558</f>
        <v>175.99999999999957</v>
      </c>
      <c r="CU88" s="247"/>
      <c r="CV88" s="246">
        <f>403.871535999835+17.1284640001655</f>
        <v>421.00000000000045</v>
      </c>
      <c r="CW88" s="247"/>
      <c r="CX88" s="246">
        <f>391.027851791254+25.972148208746</f>
        <v>417</v>
      </c>
      <c r="CY88" s="247"/>
      <c r="CZ88" s="231">
        <f>367.851384670407+12.1486153295929</f>
        <v>379.99999999999989</v>
      </c>
      <c r="DA88" s="232"/>
      <c r="DB88" s="231">
        <f>381.11918808539+19.8808119146101</f>
        <v>401.00000000000011</v>
      </c>
      <c r="DC88" s="232"/>
      <c r="DD88" s="231">
        <f>106.541800009386+6.45819999061384</f>
        <v>112.99999999999983</v>
      </c>
      <c r="DE88" s="232"/>
      <c r="DF88" s="231">
        <f>106.03533174086+7.96466825913983</f>
        <v>113.99999999999983</v>
      </c>
      <c r="DG88" s="232"/>
      <c r="DH88" s="231">
        <f>98.9229544509325+9.07704554906752</f>
        <v>108.00000000000001</v>
      </c>
      <c r="DI88" s="232"/>
      <c r="DJ88" s="231">
        <f>87.1961379806216+5.80386201937837</f>
        <v>92.999999999999972</v>
      </c>
      <c r="DK88" s="232"/>
      <c r="DL88" s="262">
        <f>277.732534864126+12.2674651358739</f>
        <v>289.99999999999994</v>
      </c>
      <c r="DM88" s="263"/>
      <c r="DN88" s="262">
        <f>261.727425297186+16.2725747028142</f>
        <v>278.00000000000023</v>
      </c>
      <c r="DO88" s="263"/>
      <c r="DP88" s="262">
        <f>112.201617019718+4.798382980282</f>
        <v>117</v>
      </c>
      <c r="DQ88" s="263"/>
      <c r="DR88" s="262">
        <f>121.476401752814+7.52359824718604</f>
        <v>129.00000000000003</v>
      </c>
      <c r="DS88" s="263"/>
      <c r="DT88" s="262">
        <f>129.975656599215+5.02434340078517</f>
        <v>135.00000000000017</v>
      </c>
      <c r="DU88" s="263"/>
      <c r="DV88" s="262">
        <f>113.556026581704+6.44397341829585</f>
        <v>119.99999999999986</v>
      </c>
      <c r="DW88" s="263"/>
      <c r="DX88" s="188">
        <f>175.026961687794+7.9730383122064</f>
        <v>183.0000000000004</v>
      </c>
      <c r="DY88" s="189"/>
      <c r="DZ88" s="188">
        <f>219.819143228928+14.1808567710718</f>
        <v>233.9999999999998</v>
      </c>
      <c r="EA88" s="189"/>
      <c r="EB88" s="188">
        <f>296.731367388855+12.2686326111453</f>
        <v>309.00000000000028</v>
      </c>
      <c r="EC88" s="189"/>
      <c r="ED88" s="188">
        <f>245.56206929935+13.4379307006496</f>
        <v>258.9999999999996</v>
      </c>
      <c r="EE88" s="189"/>
      <c r="EF88" s="188">
        <f>96.6699479118383+3.33005208816174</f>
        <v>100.00000000000004</v>
      </c>
      <c r="EG88" s="189"/>
      <c r="EH88" s="188">
        <f>94.7596922872624+6.2403077127376</f>
        <v>101</v>
      </c>
      <c r="EI88" s="189"/>
    </row>
    <row r="89" spans="1:139" s="18" customFormat="1" outlineLevel="1" x14ac:dyDescent="0.2">
      <c r="A89"/>
      <c r="B89" s="16"/>
      <c r="C89" s="17" t="s">
        <v>167</v>
      </c>
      <c r="D89" s="190" t="s">
        <v>167</v>
      </c>
      <c r="E89" s="191"/>
      <c r="F89" s="190" t="s">
        <v>167</v>
      </c>
      <c r="G89" s="191"/>
      <c r="H89" s="204" t="s">
        <v>167</v>
      </c>
      <c r="I89" s="205"/>
      <c r="J89" s="204" t="s">
        <v>167</v>
      </c>
      <c r="K89" s="205"/>
      <c r="L89" s="204" t="s">
        <v>167</v>
      </c>
      <c r="M89" s="205"/>
      <c r="N89" s="204" t="s">
        <v>167</v>
      </c>
      <c r="O89" s="205"/>
      <c r="P89" s="218" t="s">
        <v>167</v>
      </c>
      <c r="Q89" s="219"/>
      <c r="R89" s="218" t="s">
        <v>167</v>
      </c>
      <c r="S89" s="219"/>
      <c r="T89" s="218" t="s">
        <v>167</v>
      </c>
      <c r="U89" s="219"/>
      <c r="V89" s="218" t="s">
        <v>167</v>
      </c>
      <c r="W89" s="219"/>
      <c r="X89" s="248" t="s">
        <v>167</v>
      </c>
      <c r="Y89" s="249"/>
      <c r="Z89" s="248" t="s">
        <v>167</v>
      </c>
      <c r="AA89" s="249"/>
      <c r="AB89" s="248" t="s">
        <v>167</v>
      </c>
      <c r="AC89" s="249"/>
      <c r="AD89" s="248" t="s">
        <v>167</v>
      </c>
      <c r="AE89" s="249"/>
      <c r="AF89" s="248" t="s">
        <v>167</v>
      </c>
      <c r="AG89" s="249"/>
      <c r="AH89" s="248" t="s">
        <v>167</v>
      </c>
      <c r="AI89" s="249"/>
      <c r="AJ89" s="233" t="s">
        <v>167</v>
      </c>
      <c r="AK89" s="234"/>
      <c r="AL89" s="233" t="s">
        <v>167</v>
      </c>
      <c r="AM89" s="234"/>
      <c r="AN89" s="233" t="s">
        <v>167</v>
      </c>
      <c r="AO89" s="234"/>
      <c r="AP89" s="233" t="s">
        <v>167</v>
      </c>
      <c r="AQ89" s="234"/>
      <c r="AR89" s="233" t="s">
        <v>167</v>
      </c>
      <c r="AS89" s="234"/>
      <c r="AT89" s="233" t="s">
        <v>167</v>
      </c>
      <c r="AU89" s="234"/>
      <c r="AV89" s="264" t="s">
        <v>167</v>
      </c>
      <c r="AW89" s="265"/>
      <c r="AX89" s="264" t="s">
        <v>167</v>
      </c>
      <c r="AY89" s="265"/>
      <c r="AZ89" s="264" t="s">
        <v>167</v>
      </c>
      <c r="BA89" s="265"/>
      <c r="BB89" s="264" t="s">
        <v>167</v>
      </c>
      <c r="BC89" s="265"/>
      <c r="BD89" s="264" t="s">
        <v>167</v>
      </c>
      <c r="BE89" s="265"/>
      <c r="BF89" s="264" t="s">
        <v>167</v>
      </c>
      <c r="BG89" s="265"/>
      <c r="BH89" s="264" t="s">
        <v>167</v>
      </c>
      <c r="BI89" s="265"/>
      <c r="BJ89" s="264" t="s">
        <v>167</v>
      </c>
      <c r="BK89" s="265"/>
      <c r="BL89" s="190" t="s">
        <v>167</v>
      </c>
      <c r="BM89" s="191"/>
      <c r="BN89" s="190" t="s">
        <v>167</v>
      </c>
      <c r="BO89" s="191"/>
      <c r="BP89" s="190" t="s">
        <v>167</v>
      </c>
      <c r="BQ89" s="191"/>
      <c r="BR89" s="190" t="s">
        <v>167</v>
      </c>
      <c r="BS89" s="191"/>
      <c r="BT89" s="204" t="s">
        <v>167</v>
      </c>
      <c r="BU89" s="205"/>
      <c r="BV89" s="204" t="s">
        <v>167</v>
      </c>
      <c r="BW89" s="205"/>
      <c r="BX89" s="204" t="s">
        <v>167</v>
      </c>
      <c r="BY89" s="205"/>
      <c r="BZ89" s="204" t="s">
        <v>167</v>
      </c>
      <c r="CA89" s="205"/>
      <c r="CB89" s="204" t="s">
        <v>167</v>
      </c>
      <c r="CC89" s="205"/>
      <c r="CD89" s="204" t="s">
        <v>167</v>
      </c>
      <c r="CE89" s="205"/>
      <c r="CF89" s="204" t="s">
        <v>167</v>
      </c>
      <c r="CG89" s="205"/>
      <c r="CH89" s="204" t="s">
        <v>167</v>
      </c>
      <c r="CI89" s="205"/>
      <c r="CJ89" s="218" t="s">
        <v>167</v>
      </c>
      <c r="CK89" s="219"/>
      <c r="CL89" s="218" t="s">
        <v>167</v>
      </c>
      <c r="CM89" s="219"/>
      <c r="CN89" s="218" t="s">
        <v>167</v>
      </c>
      <c r="CO89" s="219"/>
      <c r="CP89" s="218" t="s">
        <v>167</v>
      </c>
      <c r="CQ89" s="219"/>
      <c r="CR89" s="248" t="s">
        <v>167</v>
      </c>
      <c r="CS89" s="249"/>
      <c r="CT89" s="248" t="s">
        <v>167</v>
      </c>
      <c r="CU89" s="249"/>
      <c r="CV89" s="248" t="s">
        <v>167</v>
      </c>
      <c r="CW89" s="249"/>
      <c r="CX89" s="248" t="s">
        <v>167</v>
      </c>
      <c r="CY89" s="249"/>
      <c r="CZ89" s="233" t="s">
        <v>167</v>
      </c>
      <c r="DA89" s="234"/>
      <c r="DB89" s="233" t="s">
        <v>167</v>
      </c>
      <c r="DC89" s="234"/>
      <c r="DD89" s="233" t="s">
        <v>167</v>
      </c>
      <c r="DE89" s="234"/>
      <c r="DF89" s="233" t="s">
        <v>167</v>
      </c>
      <c r="DG89" s="234"/>
      <c r="DH89" s="233" t="s">
        <v>167</v>
      </c>
      <c r="DI89" s="234"/>
      <c r="DJ89" s="233" t="s">
        <v>167</v>
      </c>
      <c r="DK89" s="234"/>
      <c r="DL89" s="264" t="s">
        <v>167</v>
      </c>
      <c r="DM89" s="265"/>
      <c r="DN89" s="264" t="s">
        <v>167</v>
      </c>
      <c r="DO89" s="265"/>
      <c r="DP89" s="264" t="s">
        <v>167</v>
      </c>
      <c r="DQ89" s="265"/>
      <c r="DR89" s="264" t="s">
        <v>167</v>
      </c>
      <c r="DS89" s="265"/>
      <c r="DT89" s="264" t="s">
        <v>167</v>
      </c>
      <c r="DU89" s="265"/>
      <c r="DV89" s="264" t="s">
        <v>167</v>
      </c>
      <c r="DW89" s="265"/>
      <c r="DX89" s="190" t="s">
        <v>167</v>
      </c>
      <c r="DY89" s="191"/>
      <c r="DZ89" s="190" t="s">
        <v>167</v>
      </c>
      <c r="EA89" s="191"/>
      <c r="EB89" s="190" t="s">
        <v>167</v>
      </c>
      <c r="EC89" s="191"/>
      <c r="ED89" s="190" t="s">
        <v>167</v>
      </c>
      <c r="EE89" s="191"/>
      <c r="EF89" s="190" t="s">
        <v>167</v>
      </c>
      <c r="EG89" s="191"/>
      <c r="EH89" s="190" t="s">
        <v>167</v>
      </c>
      <c r="EI89" s="191"/>
    </row>
    <row r="90" spans="1:139" outlineLevel="1" x14ac:dyDescent="0.2">
      <c r="A90"/>
      <c r="B90"/>
      <c r="E90" s="187"/>
      <c r="G90" s="187"/>
      <c r="I90" s="201"/>
      <c r="K90" s="201"/>
      <c r="M90" s="201"/>
      <c r="O90" s="201"/>
      <c r="Q90" s="215"/>
      <c r="S90" s="215"/>
      <c r="U90" s="215"/>
      <c r="W90" s="215"/>
      <c r="Y90" s="245"/>
      <c r="AA90" s="245"/>
      <c r="AC90" s="245"/>
      <c r="AE90" s="245"/>
      <c r="AG90" s="245"/>
      <c r="AI90" s="245"/>
      <c r="AK90" s="230"/>
      <c r="AM90" s="230"/>
      <c r="AO90" s="230"/>
      <c r="AQ90" s="230"/>
      <c r="AS90" s="230"/>
      <c r="AU90" s="230"/>
      <c r="AW90" s="261"/>
      <c r="AY90" s="261"/>
      <c r="BA90" s="261"/>
      <c r="BC90" s="261"/>
      <c r="BE90" s="261"/>
      <c r="BG90" s="261"/>
      <c r="BI90" s="261"/>
      <c r="BK90" s="261"/>
      <c r="BM90" s="187"/>
      <c r="BO90" s="187"/>
      <c r="BQ90" s="187"/>
      <c r="BS90" s="187"/>
      <c r="BU90" s="201"/>
      <c r="BW90" s="201"/>
      <c r="BY90" s="201"/>
      <c r="CA90" s="201"/>
      <c r="CC90" s="201"/>
      <c r="CE90" s="201"/>
      <c r="CG90" s="201"/>
      <c r="CI90" s="201"/>
      <c r="CK90" s="215"/>
      <c r="CM90" s="215"/>
      <c r="CO90" s="215"/>
      <c r="CQ90" s="215"/>
      <c r="CS90" s="245"/>
      <c r="CU90" s="245"/>
      <c r="CW90" s="245"/>
      <c r="CY90" s="245"/>
      <c r="DA90" s="230"/>
      <c r="DC90" s="230"/>
      <c r="DE90" s="230"/>
      <c r="DG90" s="230"/>
      <c r="DI90" s="230"/>
      <c r="DK90" s="230"/>
      <c r="DM90" s="261"/>
      <c r="DO90" s="261"/>
      <c r="DQ90" s="261"/>
      <c r="DS90" s="261"/>
      <c r="DU90" s="261"/>
      <c r="DW90" s="261"/>
      <c r="DY90" s="187"/>
      <c r="EA90" s="187"/>
      <c r="EC90" s="187"/>
      <c r="EE90" s="187"/>
      <c r="EG90" s="187"/>
      <c r="EI90" s="187"/>
    </row>
    <row r="91" spans="1:139" outlineLevel="1" x14ac:dyDescent="0.2">
      <c r="A91"/>
      <c r="B91" s="13" t="s">
        <v>115</v>
      </c>
      <c r="C91" s="12">
        <v>17.963724886016973</v>
      </c>
      <c r="D91" s="193">
        <v>19.349889506259476</v>
      </c>
      <c r="E91" s="189"/>
      <c r="F91" s="193">
        <v>16.601966913063066</v>
      </c>
      <c r="G91" s="189"/>
      <c r="H91" s="207">
        <v>21.118004023522982</v>
      </c>
      <c r="I91" s="203"/>
      <c r="J91" s="207">
        <v>18.65998915681892</v>
      </c>
      <c r="K91" s="203"/>
      <c r="L91" s="207">
        <v>16.424559426613108</v>
      </c>
      <c r="M91" s="203"/>
      <c r="N91" s="207">
        <v>12.803708524442131</v>
      </c>
      <c r="O91" s="203"/>
      <c r="P91" s="221">
        <v>20.516939006921124</v>
      </c>
      <c r="Q91" s="217"/>
      <c r="R91" s="221">
        <v>18.684547046744502</v>
      </c>
      <c r="S91" s="217"/>
      <c r="T91" s="221">
        <v>16.678640524058967</v>
      </c>
      <c r="U91" s="217"/>
      <c r="V91" s="221">
        <v>10.651257436945651</v>
      </c>
      <c r="W91" s="217"/>
      <c r="X91" s="251">
        <v>20.957455667565728</v>
      </c>
      <c r="Y91" s="247"/>
      <c r="Z91" s="251">
        <v>13.03761193509037</v>
      </c>
      <c r="AA91" s="247"/>
      <c r="AB91" s="251">
        <v>17.017405633529769</v>
      </c>
      <c r="AC91" s="247"/>
      <c r="AD91" s="251">
        <v>11.263407775667371</v>
      </c>
      <c r="AE91" s="247"/>
      <c r="AF91" s="251">
        <v>12.610808831336552</v>
      </c>
      <c r="AG91" s="247"/>
      <c r="AH91" s="251">
        <v>13.384292667694</v>
      </c>
      <c r="AI91" s="247"/>
      <c r="AJ91" s="236">
        <v>20.104917909122484</v>
      </c>
      <c r="AK91" s="232" t="s">
        <v>195</v>
      </c>
      <c r="AL91" s="236">
        <v>13.713117980292104</v>
      </c>
      <c r="AM91" s="232"/>
      <c r="AN91" s="236">
        <v>18.409186847815274</v>
      </c>
      <c r="AO91" s="232"/>
      <c r="AP91" s="236">
        <v>2.6678364932423073</v>
      </c>
      <c r="AQ91" s="232"/>
      <c r="AR91" s="236">
        <v>12.073762199476315</v>
      </c>
      <c r="AS91" s="232"/>
      <c r="AT91" s="236">
        <v>13.850181850050392</v>
      </c>
      <c r="AU91" s="232"/>
      <c r="AV91" s="267">
        <v>13.468712446107496</v>
      </c>
      <c r="AW91" s="263"/>
      <c r="AX91" s="267">
        <v>17.273883693363981</v>
      </c>
      <c r="AY91" s="263"/>
      <c r="AZ91" s="267">
        <v>20.208243411393941</v>
      </c>
      <c r="BA91" s="263"/>
      <c r="BB91" s="267">
        <v>16.668255345272627</v>
      </c>
      <c r="BC91" s="263"/>
      <c r="BD91" s="267">
        <v>23.553810352957061</v>
      </c>
      <c r="BE91" s="263" t="s">
        <v>176</v>
      </c>
      <c r="BF91" s="267">
        <v>12.611442980217934</v>
      </c>
      <c r="BG91" s="263"/>
      <c r="BH91" s="267">
        <v>21.960788719454346</v>
      </c>
      <c r="BI91" s="263"/>
      <c r="BJ91" s="267">
        <v>19.980831725398598</v>
      </c>
      <c r="BK91" s="263"/>
      <c r="BL91" s="193">
        <v>23.775894471422433</v>
      </c>
      <c r="BM91" s="189"/>
      <c r="BN91" s="193">
        <v>20.190212193410119</v>
      </c>
      <c r="BO91" s="189"/>
      <c r="BP91" s="193">
        <v>15.229195202863297</v>
      </c>
      <c r="BQ91" s="189"/>
      <c r="BR91" s="193">
        <v>13.454227560242254</v>
      </c>
      <c r="BS91" s="189"/>
      <c r="BT91" s="207">
        <v>19.983660190248578</v>
      </c>
      <c r="BU91" s="203"/>
      <c r="BV91" s="207">
        <v>21.496882744596874</v>
      </c>
      <c r="BW91" s="203"/>
      <c r="BX91" s="207">
        <v>20.72176350691473</v>
      </c>
      <c r="BY91" s="203"/>
      <c r="BZ91" s="207">
        <v>18.413952761352991</v>
      </c>
      <c r="CA91" s="203"/>
      <c r="CB91" s="207">
        <v>21.173883632145014</v>
      </c>
      <c r="CC91" s="203"/>
      <c r="CD91" s="207">
        <v>15.025342024252131</v>
      </c>
      <c r="CE91" s="203"/>
      <c r="CF91" s="207">
        <v>15.195729180255487</v>
      </c>
      <c r="CG91" s="203"/>
      <c r="CH91" s="207">
        <v>10.771405560429017</v>
      </c>
      <c r="CI91" s="203"/>
      <c r="CJ91" s="221">
        <v>17.457454946019102</v>
      </c>
      <c r="CK91" s="217"/>
      <c r="CL91" s="221">
        <v>13.86129452416673</v>
      </c>
      <c r="CM91" s="217"/>
      <c r="CN91" s="221">
        <v>21.591808827683884</v>
      </c>
      <c r="CO91" s="217"/>
      <c r="CP91" s="221">
        <v>19.258859977166434</v>
      </c>
      <c r="CQ91" s="217"/>
      <c r="CR91" s="251">
        <v>17.430992816893738</v>
      </c>
      <c r="CS91" s="247"/>
      <c r="CT91" s="251">
        <v>15.057811542615882</v>
      </c>
      <c r="CU91" s="247"/>
      <c r="CV91" s="251">
        <v>20.187161404078989</v>
      </c>
      <c r="CW91" s="247"/>
      <c r="CX91" s="251">
        <v>17.255403347400623</v>
      </c>
      <c r="CY91" s="247"/>
      <c r="CZ91" s="236">
        <v>22.017964132442742</v>
      </c>
      <c r="DA91" s="232"/>
      <c r="DB91" s="236">
        <v>17.652981345481212</v>
      </c>
      <c r="DC91" s="232"/>
      <c r="DD91" s="236">
        <v>13.9344739292365</v>
      </c>
      <c r="DE91" s="232"/>
      <c r="DF91" s="236">
        <v>15.01999434881297</v>
      </c>
      <c r="DG91" s="232"/>
      <c r="DH91" s="236">
        <v>10.912455676889826</v>
      </c>
      <c r="DI91" s="232"/>
      <c r="DJ91" s="236">
        <v>16.019338670238131</v>
      </c>
      <c r="DK91" s="232"/>
      <c r="DL91" s="267">
        <v>19.838968278924952</v>
      </c>
      <c r="DM91" s="263"/>
      <c r="DN91" s="267">
        <v>16.517902718230896</v>
      </c>
      <c r="DO91" s="263"/>
      <c r="DP91" s="267">
        <v>22.986287130553748</v>
      </c>
      <c r="DQ91" s="263"/>
      <c r="DR91" s="267">
        <v>16.850531488804403</v>
      </c>
      <c r="DS91" s="263"/>
      <c r="DT91" s="267">
        <v>15.947789835594735</v>
      </c>
      <c r="DU91" s="263"/>
      <c r="DV91" s="267">
        <v>18.424723109984573</v>
      </c>
      <c r="DW91" s="263"/>
      <c r="DX91" s="193">
        <v>21.223176276469992</v>
      </c>
      <c r="DY91" s="189"/>
      <c r="DZ91" s="193">
        <v>18.178559779183839</v>
      </c>
      <c r="EA91" s="189"/>
      <c r="EB91" s="193">
        <v>19.660014781966002</v>
      </c>
      <c r="EC91" s="189"/>
      <c r="ED91" s="193">
        <v>15.589509455498199</v>
      </c>
      <c r="EE91" s="189"/>
      <c r="EF91" s="193">
        <v>15.125470878576538</v>
      </c>
      <c r="EG91" s="189"/>
      <c r="EH91" s="193">
        <v>15.402610843691113</v>
      </c>
      <c r="EI91" s="189"/>
    </row>
    <row r="92" spans="1:139" outlineLevel="1" x14ac:dyDescent="0.2">
      <c r="A92"/>
      <c r="B92" s="13" t="s">
        <v>116</v>
      </c>
      <c r="C92" s="12">
        <v>39.33019150171198</v>
      </c>
      <c r="D92" s="193">
        <v>38.659960673585253</v>
      </c>
      <c r="E92" s="189"/>
      <c r="F92" s="193">
        <v>39.988621359603904</v>
      </c>
      <c r="G92" s="189"/>
      <c r="H92" s="207">
        <v>38.547005952495937</v>
      </c>
      <c r="I92" s="203"/>
      <c r="J92" s="207">
        <v>37.708686294682856</v>
      </c>
      <c r="K92" s="203"/>
      <c r="L92" s="207">
        <v>38.846843276501751</v>
      </c>
      <c r="M92" s="203"/>
      <c r="N92" s="207">
        <v>44.196439089524745</v>
      </c>
      <c r="O92" s="203"/>
      <c r="P92" s="221">
        <v>37.633867534781089</v>
      </c>
      <c r="Q92" s="217"/>
      <c r="R92" s="221">
        <v>39.537883616180579</v>
      </c>
      <c r="S92" s="217"/>
      <c r="T92" s="221">
        <v>41.008575921798453</v>
      </c>
      <c r="U92" s="217"/>
      <c r="V92" s="221">
        <v>41.276547484343958</v>
      </c>
      <c r="W92" s="217"/>
      <c r="X92" s="251">
        <v>41.037168460937025</v>
      </c>
      <c r="Y92" s="247"/>
      <c r="Z92" s="251">
        <v>39.611536711220189</v>
      </c>
      <c r="AA92" s="247"/>
      <c r="AB92" s="251">
        <v>31.301309088559208</v>
      </c>
      <c r="AC92" s="247"/>
      <c r="AD92" s="251">
        <v>48.933376649811883</v>
      </c>
      <c r="AE92" s="247"/>
      <c r="AF92" s="251">
        <v>49.654274279349849</v>
      </c>
      <c r="AG92" s="247"/>
      <c r="AH92" s="251">
        <v>31.737799289918332</v>
      </c>
      <c r="AI92" s="247"/>
      <c r="AJ92" s="236">
        <v>44.043048402736417</v>
      </c>
      <c r="AK92" s="232"/>
      <c r="AL92" s="236">
        <v>44.9700586176359</v>
      </c>
      <c r="AM92" s="232"/>
      <c r="AN92" s="236">
        <v>28.106893093462894</v>
      </c>
      <c r="AO92" s="232"/>
      <c r="AP92" s="236">
        <v>45.061087792892089</v>
      </c>
      <c r="AQ92" s="232"/>
      <c r="AR92" s="236">
        <v>47.692265730381656</v>
      </c>
      <c r="AS92" s="232"/>
      <c r="AT92" s="236">
        <v>30.480423732527058</v>
      </c>
      <c r="AU92" s="232"/>
      <c r="AV92" s="267">
        <v>36.058998410989801</v>
      </c>
      <c r="AW92" s="263"/>
      <c r="AX92" s="267">
        <v>32.814107740536372</v>
      </c>
      <c r="AY92" s="263"/>
      <c r="AZ92" s="267">
        <v>35.399632616597387</v>
      </c>
      <c r="BA92" s="263"/>
      <c r="BB92" s="267">
        <v>37.50557041189905</v>
      </c>
      <c r="BC92" s="263"/>
      <c r="BD92" s="267">
        <v>48.152891072570007</v>
      </c>
      <c r="BE92" s="263"/>
      <c r="BF92" s="267">
        <v>47.359246283089831</v>
      </c>
      <c r="BG92" s="263"/>
      <c r="BH92" s="267">
        <v>43.285573763943397</v>
      </c>
      <c r="BI92" s="263"/>
      <c r="BJ92" s="267">
        <v>52.184294709048437</v>
      </c>
      <c r="BK92" s="263"/>
      <c r="BL92" s="193">
        <v>35.276271909608901</v>
      </c>
      <c r="BM92" s="189"/>
      <c r="BN92" s="193">
        <v>36.5431671104011</v>
      </c>
      <c r="BO92" s="189"/>
      <c r="BP92" s="193">
        <v>41.810238886992011</v>
      </c>
      <c r="BQ92" s="189"/>
      <c r="BR92" s="193">
        <v>43.011099223076585</v>
      </c>
      <c r="BS92" s="189"/>
      <c r="BT92" s="207">
        <v>30.347963261841354</v>
      </c>
      <c r="BU92" s="203"/>
      <c r="BV92" s="207">
        <v>44.430862593641223</v>
      </c>
      <c r="BW92" s="203" t="s">
        <v>208</v>
      </c>
      <c r="BX92" s="207">
        <v>39.390122729170322</v>
      </c>
      <c r="BY92" s="203"/>
      <c r="BZ92" s="207">
        <v>37.907733231223716</v>
      </c>
      <c r="CA92" s="203"/>
      <c r="CB92" s="207">
        <v>44.641251468850399</v>
      </c>
      <c r="CC92" s="203"/>
      <c r="CD92" s="207">
        <v>40.305024093720597</v>
      </c>
      <c r="CE92" s="203"/>
      <c r="CF92" s="207">
        <v>38.934101331620724</v>
      </c>
      <c r="CG92" s="203"/>
      <c r="CH92" s="207">
        <v>39.216741152139541</v>
      </c>
      <c r="CI92" s="203"/>
      <c r="CJ92" s="221">
        <v>40.806397318268885</v>
      </c>
      <c r="CK92" s="217"/>
      <c r="CL92" s="221">
        <v>43.266315756758971</v>
      </c>
      <c r="CM92" s="217"/>
      <c r="CN92" s="221">
        <v>37.264314714331974</v>
      </c>
      <c r="CO92" s="217"/>
      <c r="CP92" s="221">
        <v>36.50883825860209</v>
      </c>
      <c r="CQ92" s="217"/>
      <c r="CR92" s="251">
        <v>41.252414717082118</v>
      </c>
      <c r="CS92" s="247"/>
      <c r="CT92" s="251">
        <v>36.652986608411247</v>
      </c>
      <c r="CU92" s="247"/>
      <c r="CV92" s="251">
        <v>37.460317692708998</v>
      </c>
      <c r="CW92" s="247"/>
      <c r="CX92" s="251">
        <v>41.409335372107456</v>
      </c>
      <c r="CY92" s="247"/>
      <c r="CZ92" s="236">
        <v>36.331757597639431</v>
      </c>
      <c r="DA92" s="232"/>
      <c r="DB92" s="236">
        <v>40.138023559594522</v>
      </c>
      <c r="DC92" s="232"/>
      <c r="DD92" s="236">
        <v>44.201939538655616</v>
      </c>
      <c r="DE92" s="232"/>
      <c r="DF92" s="236">
        <v>39.13849337856778</v>
      </c>
      <c r="DG92" s="232"/>
      <c r="DH92" s="236">
        <v>36.588074081399128</v>
      </c>
      <c r="DI92" s="232"/>
      <c r="DJ92" s="236">
        <v>43.40405239501213</v>
      </c>
      <c r="DK92" s="232"/>
      <c r="DL92" s="267">
        <v>37.07798787285877</v>
      </c>
      <c r="DM92" s="263"/>
      <c r="DN92" s="267">
        <v>44.00509092487151</v>
      </c>
      <c r="DO92" s="263"/>
      <c r="DP92" s="267">
        <v>42.251930412614072</v>
      </c>
      <c r="DQ92" s="263" t="s">
        <v>231</v>
      </c>
      <c r="DR92" s="267">
        <v>29.681281549200857</v>
      </c>
      <c r="DS92" s="263"/>
      <c r="DT92" s="267">
        <v>40.17334505339165</v>
      </c>
      <c r="DU92" s="263"/>
      <c r="DV92" s="267">
        <v>41.255837420101393</v>
      </c>
      <c r="DW92" s="263"/>
      <c r="DX92" s="193">
        <v>36.482993583808785</v>
      </c>
      <c r="DY92" s="189"/>
      <c r="DZ92" s="193">
        <v>36.920549142859294</v>
      </c>
      <c r="EA92" s="189"/>
      <c r="EB92" s="193">
        <v>39.61113903408279</v>
      </c>
      <c r="EC92" s="189"/>
      <c r="ED92" s="193">
        <v>42.685932190199487</v>
      </c>
      <c r="EE92" s="189"/>
      <c r="EF92" s="193">
        <v>39.695174681317646</v>
      </c>
      <c r="EG92" s="189"/>
      <c r="EH92" s="193">
        <v>40.543844403870374</v>
      </c>
      <c r="EI92" s="189"/>
    </row>
    <row r="93" spans="1:139" outlineLevel="1" x14ac:dyDescent="0.2">
      <c r="A93"/>
      <c r="B93" s="13" t="s">
        <v>117</v>
      </c>
      <c r="C93" s="12">
        <v>32.52804932829072</v>
      </c>
      <c r="D93" s="193">
        <v>33.587585897531156</v>
      </c>
      <c r="E93" s="189"/>
      <c r="F93" s="193">
        <v>31.487168360958727</v>
      </c>
      <c r="G93" s="189"/>
      <c r="H93" s="207">
        <v>32.389553190256336</v>
      </c>
      <c r="I93" s="203"/>
      <c r="J93" s="207">
        <v>29.089451554402054</v>
      </c>
      <c r="K93" s="203"/>
      <c r="L93" s="207">
        <v>35.569720584381251</v>
      </c>
      <c r="M93" s="203"/>
      <c r="N93" s="207">
        <v>35.912362501436469</v>
      </c>
      <c r="O93" s="203"/>
      <c r="P93" s="221">
        <v>32.04452414682153</v>
      </c>
      <c r="Q93" s="217"/>
      <c r="R93" s="221">
        <v>29.84041055924509</v>
      </c>
      <c r="S93" s="217"/>
      <c r="T93" s="221">
        <v>37.11948589724733</v>
      </c>
      <c r="U93" s="217"/>
      <c r="V93" s="221">
        <v>36.192570615135132</v>
      </c>
      <c r="W93" s="217"/>
      <c r="X93" s="251">
        <v>34.344856142233901</v>
      </c>
      <c r="Y93" s="247"/>
      <c r="Z93" s="251">
        <v>37.985161103655635</v>
      </c>
      <c r="AA93" s="247"/>
      <c r="AB93" s="251">
        <v>38.895861967833255</v>
      </c>
      <c r="AC93" s="247"/>
      <c r="AD93" s="251">
        <v>28.783799996495137</v>
      </c>
      <c r="AE93" s="247"/>
      <c r="AF93" s="251">
        <v>41.656969878199668</v>
      </c>
      <c r="AG93" s="247"/>
      <c r="AH93" s="251">
        <v>40.806162187359277</v>
      </c>
      <c r="AI93" s="247"/>
      <c r="AJ93" s="236">
        <v>36.489933318351049</v>
      </c>
      <c r="AK93" s="232"/>
      <c r="AL93" s="236">
        <v>37.917668226992227</v>
      </c>
      <c r="AM93" s="232"/>
      <c r="AN93" s="236">
        <v>38.674403035036825</v>
      </c>
      <c r="AO93" s="232"/>
      <c r="AP93" s="236">
        <v>29.998517463550264</v>
      </c>
      <c r="AQ93" s="232"/>
      <c r="AR93" s="236">
        <v>37.452888201221931</v>
      </c>
      <c r="AS93" s="232"/>
      <c r="AT93" s="236">
        <v>38.594660619604745</v>
      </c>
      <c r="AU93" s="232"/>
      <c r="AV93" s="267">
        <v>32.454323075959245</v>
      </c>
      <c r="AW93" s="263"/>
      <c r="AX93" s="267">
        <v>27.284390017675708</v>
      </c>
      <c r="AY93" s="263"/>
      <c r="AZ93" s="267">
        <v>34.356073406787708</v>
      </c>
      <c r="BA93" s="263"/>
      <c r="BB93" s="267">
        <v>31.848440749227713</v>
      </c>
      <c r="BC93" s="263"/>
      <c r="BD93" s="267">
        <v>35.235814693458863</v>
      </c>
      <c r="BE93" s="263"/>
      <c r="BF93" s="267">
        <v>38.340459108627691</v>
      </c>
      <c r="BG93" s="263"/>
      <c r="BH93" s="267">
        <v>31.104886305761106</v>
      </c>
      <c r="BI93" s="263"/>
      <c r="BJ93" s="267">
        <v>28.93051183101452</v>
      </c>
      <c r="BK93" s="263"/>
      <c r="BL93" s="193">
        <v>28.905736061543113</v>
      </c>
      <c r="BM93" s="189"/>
      <c r="BN93" s="193">
        <v>26.675412387368411</v>
      </c>
      <c r="BO93" s="189"/>
      <c r="BP93" s="193">
        <v>37.946476612829301</v>
      </c>
      <c r="BQ93" s="189"/>
      <c r="BR93" s="193">
        <v>35.708215823125499</v>
      </c>
      <c r="BS93" s="189"/>
      <c r="BT93" s="207">
        <v>36.192951840368984</v>
      </c>
      <c r="BU93" s="203"/>
      <c r="BV93" s="207">
        <v>28.026085390910183</v>
      </c>
      <c r="BW93" s="203"/>
      <c r="BX93" s="207">
        <v>33.445257349677071</v>
      </c>
      <c r="BY93" s="203"/>
      <c r="BZ93" s="207">
        <v>33.437061536768248</v>
      </c>
      <c r="CA93" s="203"/>
      <c r="CB93" s="207">
        <v>35.453353300280391</v>
      </c>
      <c r="CC93" s="203"/>
      <c r="CD93" s="207">
        <v>36.319431415934048</v>
      </c>
      <c r="CE93" s="203"/>
      <c r="CF93" s="207">
        <v>30.144028349802387</v>
      </c>
      <c r="CG93" s="203"/>
      <c r="CH93" s="207">
        <v>25.968118248714696</v>
      </c>
      <c r="CI93" s="203"/>
      <c r="CJ93" s="221">
        <v>35.317896999642585</v>
      </c>
      <c r="CK93" s="217"/>
      <c r="CL93" s="221">
        <v>34.688765232230594</v>
      </c>
      <c r="CM93" s="217"/>
      <c r="CN93" s="221">
        <v>31.303066287287699</v>
      </c>
      <c r="CO93" s="217"/>
      <c r="CP93" s="221">
        <v>28.446907173829917</v>
      </c>
      <c r="CQ93" s="217"/>
      <c r="CR93" s="251">
        <v>34.306227408231969</v>
      </c>
      <c r="CS93" s="247"/>
      <c r="CT93" s="251">
        <v>35.975963115446916</v>
      </c>
      <c r="CU93" s="247"/>
      <c r="CV93" s="251">
        <v>33.353464250175811</v>
      </c>
      <c r="CW93" s="247"/>
      <c r="CX93" s="251">
        <v>29.765139188486121</v>
      </c>
      <c r="CY93" s="247"/>
      <c r="CZ93" s="236">
        <v>31.906544335472482</v>
      </c>
      <c r="DA93" s="232"/>
      <c r="DB93" s="236">
        <v>31.659719581384746</v>
      </c>
      <c r="DC93" s="232"/>
      <c r="DD93" s="236">
        <v>38.764398239923111</v>
      </c>
      <c r="DE93" s="232"/>
      <c r="DF93" s="236">
        <v>29.336865013351396</v>
      </c>
      <c r="DG93" s="232"/>
      <c r="DH93" s="236">
        <v>27.62013740752775</v>
      </c>
      <c r="DI93" s="232"/>
      <c r="DJ93" s="236">
        <v>30.356740632514537</v>
      </c>
      <c r="DK93" s="232"/>
      <c r="DL93" s="267">
        <v>36.6401868515701</v>
      </c>
      <c r="DM93" s="263" t="s">
        <v>229</v>
      </c>
      <c r="DN93" s="267">
        <v>25.912174431761795</v>
      </c>
      <c r="DO93" s="263"/>
      <c r="DP93" s="267">
        <v>31.929271100064945</v>
      </c>
      <c r="DQ93" s="263"/>
      <c r="DR93" s="267">
        <v>40.485015321627017</v>
      </c>
      <c r="DS93" s="263"/>
      <c r="DT93" s="267">
        <v>30.618926895886649</v>
      </c>
      <c r="DU93" s="263"/>
      <c r="DV93" s="267">
        <v>31.394557940268903</v>
      </c>
      <c r="DW93" s="263"/>
      <c r="DX93" s="193">
        <v>40.528514115286448</v>
      </c>
      <c r="DY93" s="189"/>
      <c r="DZ93" s="193">
        <v>31.974838279881634</v>
      </c>
      <c r="EA93" s="189"/>
      <c r="EB93" s="193">
        <v>30.140422015470104</v>
      </c>
      <c r="EC93" s="189"/>
      <c r="ED93" s="193">
        <v>28.514478076853237</v>
      </c>
      <c r="EE93" s="189"/>
      <c r="EF93" s="193">
        <v>31.51120909911053</v>
      </c>
      <c r="EG93" s="189"/>
      <c r="EH93" s="193">
        <v>37.622706724338258</v>
      </c>
      <c r="EI93" s="189"/>
    </row>
    <row r="94" spans="1:139" outlineLevel="1" x14ac:dyDescent="0.2">
      <c r="A94"/>
      <c r="B94" s="13" t="s">
        <v>118</v>
      </c>
      <c r="C94" s="12">
        <v>12.614351675458851</v>
      </c>
      <c r="D94" s="193">
        <v>10.959021683192567</v>
      </c>
      <c r="E94" s="189"/>
      <c r="F94" s="193">
        <v>14.240535738967839</v>
      </c>
      <c r="G94" s="189"/>
      <c r="H94" s="207">
        <v>12.062786827791561</v>
      </c>
      <c r="I94" s="203"/>
      <c r="J94" s="207">
        <v>14.680473963208737</v>
      </c>
      <c r="K94" s="203"/>
      <c r="L94" s="207">
        <v>9.1328518583115628</v>
      </c>
      <c r="M94" s="203"/>
      <c r="N94" s="207">
        <v>13.428591623316082</v>
      </c>
      <c r="O94" s="203"/>
      <c r="P94" s="221">
        <v>12.091847982434722</v>
      </c>
      <c r="Q94" s="217"/>
      <c r="R94" s="221">
        <v>14.693328321023825</v>
      </c>
      <c r="S94" s="217"/>
      <c r="T94" s="221">
        <v>8.3661058752984037</v>
      </c>
      <c r="U94" s="217"/>
      <c r="V94" s="221">
        <v>12.946738172584068</v>
      </c>
      <c r="W94" s="217"/>
      <c r="X94" s="251">
        <v>8.5725950839922085</v>
      </c>
      <c r="Y94" s="247"/>
      <c r="Z94" s="251">
        <v>15.042011552995332</v>
      </c>
      <c r="AA94" s="247"/>
      <c r="AB94" s="251">
        <v>0</v>
      </c>
      <c r="AC94" s="247"/>
      <c r="AD94" s="251">
        <v>17.01313109390734</v>
      </c>
      <c r="AE94" s="247"/>
      <c r="AF94" s="251">
        <v>10.578058605439303</v>
      </c>
      <c r="AG94" s="247"/>
      <c r="AH94" s="251">
        <v>15.361342864448623</v>
      </c>
      <c r="AI94" s="247" t="s">
        <v>188</v>
      </c>
      <c r="AJ94" s="236">
        <v>7.6100058619502855</v>
      </c>
      <c r="AK94" s="232"/>
      <c r="AL94" s="236">
        <v>13.532485697015701</v>
      </c>
      <c r="AM94" s="232"/>
      <c r="AN94" s="236">
        <v>0</v>
      </c>
      <c r="AO94" s="232"/>
      <c r="AP94" s="236">
        <v>18.238357835691215</v>
      </c>
      <c r="AQ94" s="232"/>
      <c r="AR94" s="236">
        <v>12.104508847099897</v>
      </c>
      <c r="AS94" s="232"/>
      <c r="AT94" s="236">
        <v>12.865891065246922</v>
      </c>
      <c r="AU94" s="232" t="s">
        <v>194</v>
      </c>
      <c r="AV94" s="267">
        <v>13.759888598424659</v>
      </c>
      <c r="AW94" s="263"/>
      <c r="AX94" s="267">
        <v>6.6468566579668824</v>
      </c>
      <c r="AY94" s="263"/>
      <c r="AZ94" s="267">
        <v>6.9722172343041366</v>
      </c>
      <c r="BA94" s="263"/>
      <c r="BB94" s="267">
        <v>17.672976989854366</v>
      </c>
      <c r="BC94" s="263" t="s">
        <v>173</v>
      </c>
      <c r="BD94" s="267">
        <v>16.09764277866163</v>
      </c>
      <c r="BE94" s="263"/>
      <c r="BF94" s="267">
        <v>14.619024747953395</v>
      </c>
      <c r="BG94" s="263"/>
      <c r="BH94" s="267">
        <v>13.543819966645696</v>
      </c>
      <c r="BI94" s="263"/>
      <c r="BJ94" s="267">
        <v>13.580912968416776</v>
      </c>
      <c r="BK94" s="263"/>
      <c r="BL94" s="193">
        <v>9.7903113258568695</v>
      </c>
      <c r="BM94" s="189"/>
      <c r="BN94" s="193">
        <v>14.848187137209582</v>
      </c>
      <c r="BO94" s="189"/>
      <c r="BP94" s="193">
        <v>12.047113122244085</v>
      </c>
      <c r="BQ94" s="189"/>
      <c r="BR94" s="193">
        <v>13.707481817175422</v>
      </c>
      <c r="BS94" s="189"/>
      <c r="BT94" s="207">
        <v>10.077217896918935</v>
      </c>
      <c r="BU94" s="203"/>
      <c r="BV94" s="207">
        <v>8.7463196616559937</v>
      </c>
      <c r="BW94" s="203"/>
      <c r="BX94" s="207">
        <v>8.9216191863265681</v>
      </c>
      <c r="BY94" s="203"/>
      <c r="BZ94" s="207">
        <v>15.800954687932105</v>
      </c>
      <c r="CA94" s="203" t="s">
        <v>210</v>
      </c>
      <c r="CB94" s="207">
        <v>9.6564344373326509</v>
      </c>
      <c r="CC94" s="203"/>
      <c r="CD94" s="207">
        <v>12.405291347503647</v>
      </c>
      <c r="CE94" s="203"/>
      <c r="CF94" s="207">
        <v>15.868778948666158</v>
      </c>
      <c r="CG94" s="203"/>
      <c r="CH94" s="207">
        <v>18.522896799772035</v>
      </c>
      <c r="CI94" s="203"/>
      <c r="CJ94" s="221">
        <v>9.7765384899451782</v>
      </c>
      <c r="CK94" s="217"/>
      <c r="CL94" s="221">
        <v>11.775188804787293</v>
      </c>
      <c r="CM94" s="217"/>
      <c r="CN94" s="221">
        <v>12.482309086961354</v>
      </c>
      <c r="CO94" s="217"/>
      <c r="CP94" s="221">
        <v>16.660191000237365</v>
      </c>
      <c r="CQ94" s="217"/>
      <c r="CR94" s="251">
        <v>8.6016336047810089</v>
      </c>
      <c r="CS94" s="247"/>
      <c r="CT94" s="251">
        <v>14.324142050371639</v>
      </c>
      <c r="CU94" s="247"/>
      <c r="CV94" s="251">
        <v>11.962693628918636</v>
      </c>
      <c r="CW94" s="247"/>
      <c r="CX94" s="251">
        <v>14.238849635040646</v>
      </c>
      <c r="CY94" s="247"/>
      <c r="CZ94" s="236">
        <v>11.917972280045351</v>
      </c>
      <c r="DA94" s="232"/>
      <c r="DB94" s="236">
        <v>15.714366249281102</v>
      </c>
      <c r="DC94" s="232"/>
      <c r="DD94" s="236">
        <v>6.4406311948098756</v>
      </c>
      <c r="DE94" s="232"/>
      <c r="DF94" s="236">
        <v>9.1499641654862174</v>
      </c>
      <c r="DG94" s="232"/>
      <c r="DH94" s="236">
        <v>10.781734875989471</v>
      </c>
      <c r="DI94" s="232"/>
      <c r="DJ94" s="236">
        <v>16.807090169340192</v>
      </c>
      <c r="DK94" s="232"/>
      <c r="DL94" s="267">
        <v>10.685097719093736</v>
      </c>
      <c r="DM94" s="263"/>
      <c r="DN94" s="267">
        <v>15.426761574899947</v>
      </c>
      <c r="DO94" s="263"/>
      <c r="DP94" s="267">
        <v>5.2021041908265513</v>
      </c>
      <c r="DQ94" s="263"/>
      <c r="DR94" s="267">
        <v>20.147144837056722</v>
      </c>
      <c r="DS94" s="263" t="s">
        <v>230</v>
      </c>
      <c r="DT94" s="267">
        <v>15.918364902119045</v>
      </c>
      <c r="DU94" s="263"/>
      <c r="DV94" s="267">
        <v>9.2104674068767913</v>
      </c>
      <c r="DW94" s="263"/>
      <c r="DX94" s="193">
        <v>10.61623957048619</v>
      </c>
      <c r="DY94" s="189"/>
      <c r="DZ94" s="193">
        <v>13.696832509083082</v>
      </c>
      <c r="EA94" s="189"/>
      <c r="EB94" s="193">
        <v>12.411955206446242</v>
      </c>
      <c r="EC94" s="189"/>
      <c r="ED94" s="193">
        <v>13.982922833476675</v>
      </c>
      <c r="EE94" s="189"/>
      <c r="EF94" s="193">
        <v>7.2728542743329481</v>
      </c>
      <c r="EG94" s="189"/>
      <c r="EH94" s="193">
        <v>16.138607094386785</v>
      </c>
      <c r="EI94" s="189"/>
    </row>
    <row r="95" spans="1:139" outlineLevel="1" x14ac:dyDescent="0.2">
      <c r="A95"/>
      <c r="B95" s="13" t="s">
        <v>119</v>
      </c>
      <c r="C95" s="12">
        <v>31.528740599436922</v>
      </c>
      <c r="D95" s="193">
        <v>33.272462015196673</v>
      </c>
      <c r="E95" s="189"/>
      <c r="F95" s="193">
        <v>29.81572144872025</v>
      </c>
      <c r="G95" s="189"/>
      <c r="H95" s="207">
        <v>35.229144877183202</v>
      </c>
      <c r="I95" s="203"/>
      <c r="J95" s="207">
        <v>30.033605524447047</v>
      </c>
      <c r="K95" s="203"/>
      <c r="L95" s="207">
        <v>30.035147250451327</v>
      </c>
      <c r="M95" s="203"/>
      <c r="N95" s="207">
        <v>29.413597506237529</v>
      </c>
      <c r="O95" s="203"/>
      <c r="P95" s="221">
        <v>33.562010832976618</v>
      </c>
      <c r="Q95" s="217"/>
      <c r="R95" s="221">
        <v>29.362043708373008</v>
      </c>
      <c r="S95" s="217"/>
      <c r="T95" s="221">
        <v>32.609716361003315</v>
      </c>
      <c r="U95" s="217"/>
      <c r="V95" s="221">
        <v>31.112048243029736</v>
      </c>
      <c r="W95" s="217"/>
      <c r="X95" s="251">
        <v>29.211986065296941</v>
      </c>
      <c r="Y95" s="247"/>
      <c r="Z95" s="251">
        <v>23.867272862092481</v>
      </c>
      <c r="AA95" s="247"/>
      <c r="AB95" s="251">
        <v>37.750813364782609</v>
      </c>
      <c r="AC95" s="247"/>
      <c r="AD95" s="251">
        <v>21.429794278180761</v>
      </c>
      <c r="AE95" s="247"/>
      <c r="AF95" s="251">
        <v>24.244788111628996</v>
      </c>
      <c r="AG95" s="247"/>
      <c r="AH95" s="251">
        <v>35.450906383720167</v>
      </c>
      <c r="AI95" s="247"/>
      <c r="AJ95" s="236">
        <v>35.146713771811406</v>
      </c>
      <c r="AK95" s="232"/>
      <c r="AL95" s="236">
        <v>21.862304783592684</v>
      </c>
      <c r="AM95" s="232"/>
      <c r="AN95" s="236">
        <v>40.838291796957975</v>
      </c>
      <c r="AO95" s="232"/>
      <c r="AP95" s="236">
        <v>21.430428939111501</v>
      </c>
      <c r="AQ95" s="232"/>
      <c r="AR95" s="236">
        <v>22.806821788463065</v>
      </c>
      <c r="AS95" s="232"/>
      <c r="AT95" s="236">
        <v>42.90593094080014</v>
      </c>
      <c r="AU95" s="232"/>
      <c r="AV95" s="267">
        <v>34.372098917308818</v>
      </c>
      <c r="AW95" s="263"/>
      <c r="AX95" s="267">
        <v>32.781977124549883</v>
      </c>
      <c r="AY95" s="263"/>
      <c r="AZ95" s="267">
        <v>30.079599737232755</v>
      </c>
      <c r="BA95" s="263"/>
      <c r="BB95" s="267">
        <v>25.561712593243101</v>
      </c>
      <c r="BC95" s="263"/>
      <c r="BD95" s="267">
        <v>39.305606826326567</v>
      </c>
      <c r="BE95" s="263"/>
      <c r="BF95" s="267">
        <v>31.38403711978593</v>
      </c>
      <c r="BG95" s="263"/>
      <c r="BH95" s="267">
        <v>35.148970909853503</v>
      </c>
      <c r="BI95" s="263"/>
      <c r="BJ95" s="267">
        <v>38.78795572255509</v>
      </c>
      <c r="BK95" s="263"/>
      <c r="BL95" s="193">
        <v>31.178463334270386</v>
      </c>
      <c r="BM95" s="189"/>
      <c r="BN95" s="193">
        <v>28.057094031804965</v>
      </c>
      <c r="BO95" s="189"/>
      <c r="BP95" s="193">
        <v>35.222014377593169</v>
      </c>
      <c r="BQ95" s="189"/>
      <c r="BR95" s="193">
        <v>31.358453423452598</v>
      </c>
      <c r="BS95" s="189"/>
      <c r="BT95" s="207">
        <v>30.280108422015207</v>
      </c>
      <c r="BU95" s="203"/>
      <c r="BV95" s="207">
        <v>26.537181125601034</v>
      </c>
      <c r="BW95" s="203"/>
      <c r="BX95" s="207">
        <v>35.894032041437384</v>
      </c>
      <c r="BY95" s="203"/>
      <c r="BZ95" s="207">
        <v>28.386150088189783</v>
      </c>
      <c r="CA95" s="203"/>
      <c r="CB95" s="207">
        <v>30.745137211818616</v>
      </c>
      <c r="CC95" s="203"/>
      <c r="CD95" s="207">
        <v>34.173152127335733</v>
      </c>
      <c r="CE95" s="203"/>
      <c r="CF95" s="207">
        <v>33.828241139611592</v>
      </c>
      <c r="CG95" s="203"/>
      <c r="CH95" s="207">
        <v>30.483781749449442</v>
      </c>
      <c r="CI95" s="203"/>
      <c r="CJ95" s="221">
        <v>31.110174181137843</v>
      </c>
      <c r="CK95" s="217"/>
      <c r="CL95" s="221">
        <v>28.889710598213806</v>
      </c>
      <c r="CM95" s="217"/>
      <c r="CN95" s="221">
        <v>34.957622671621216</v>
      </c>
      <c r="CO95" s="217"/>
      <c r="CP95" s="221">
        <v>31.047149464081599</v>
      </c>
      <c r="CQ95" s="217"/>
      <c r="CR95" s="251">
        <v>28.84614145923571</v>
      </c>
      <c r="CS95" s="247"/>
      <c r="CT95" s="251">
        <v>19.876695598635514</v>
      </c>
      <c r="CU95" s="247"/>
      <c r="CV95" s="251">
        <v>35.18169311503123</v>
      </c>
      <c r="CW95" s="247"/>
      <c r="CX95" s="251">
        <v>33.850131157083254</v>
      </c>
      <c r="CY95" s="247"/>
      <c r="CZ95" s="236">
        <v>36.800963653704528</v>
      </c>
      <c r="DA95" s="232"/>
      <c r="DB95" s="236">
        <v>31.788886410828653</v>
      </c>
      <c r="DC95" s="232"/>
      <c r="DD95" s="236">
        <v>20.826575358923531</v>
      </c>
      <c r="DE95" s="232"/>
      <c r="DF95" s="236">
        <v>30.763883301116575</v>
      </c>
      <c r="DG95" s="232"/>
      <c r="DH95" s="236">
        <v>39.42258700985586</v>
      </c>
      <c r="DI95" s="232"/>
      <c r="DJ95" s="236">
        <v>27.088038636755648</v>
      </c>
      <c r="DK95" s="232"/>
      <c r="DL95" s="267">
        <v>33.38606003432529</v>
      </c>
      <c r="DM95" s="263"/>
      <c r="DN95" s="267">
        <v>27.675074352331698</v>
      </c>
      <c r="DO95" s="263"/>
      <c r="DP95" s="267">
        <v>38.244783843079873</v>
      </c>
      <c r="DQ95" s="263"/>
      <c r="DR95" s="267">
        <v>32.448392818543617</v>
      </c>
      <c r="DS95" s="263"/>
      <c r="DT95" s="267">
        <v>28.303716226840031</v>
      </c>
      <c r="DU95" s="263"/>
      <c r="DV95" s="267">
        <v>27.42416519726692</v>
      </c>
      <c r="DW95" s="263"/>
      <c r="DX95" s="193">
        <v>27.959007233952004</v>
      </c>
      <c r="DY95" s="189"/>
      <c r="DZ95" s="193">
        <v>25.613644576257489</v>
      </c>
      <c r="EA95" s="189"/>
      <c r="EB95" s="193">
        <v>34.917381866677857</v>
      </c>
      <c r="EC95" s="189"/>
      <c r="ED95" s="193">
        <v>34.781546762661712</v>
      </c>
      <c r="EE95" s="189"/>
      <c r="EF95" s="193">
        <v>37.797886961594806</v>
      </c>
      <c r="EG95" s="189"/>
      <c r="EH95" s="193">
        <v>27.465314053056563</v>
      </c>
      <c r="EI95" s="189"/>
    </row>
    <row r="96" spans="1:139" outlineLevel="1" x14ac:dyDescent="0.2">
      <c r="A96"/>
      <c r="B96" s="13" t="s">
        <v>120</v>
      </c>
      <c r="C96" s="12">
        <v>17.96057112123157</v>
      </c>
      <c r="D96" s="193">
        <v>17.405430155021481</v>
      </c>
      <c r="E96" s="189"/>
      <c r="F96" s="193">
        <v>18.50593754150399</v>
      </c>
      <c r="G96" s="189"/>
      <c r="H96" s="207">
        <v>17.569825233394688</v>
      </c>
      <c r="I96" s="203"/>
      <c r="J96" s="207">
        <v>21.059896200379484</v>
      </c>
      <c r="K96" s="203"/>
      <c r="L96" s="207">
        <v>17.13343992870103</v>
      </c>
      <c r="M96" s="203"/>
      <c r="N96" s="207">
        <v>13.792385523445375</v>
      </c>
      <c r="O96" s="203"/>
      <c r="P96" s="221">
        <v>18.622527411147942</v>
      </c>
      <c r="Q96" s="217"/>
      <c r="R96" s="221">
        <v>19.55008287190736</v>
      </c>
      <c r="S96" s="217"/>
      <c r="T96" s="221">
        <v>14.61962732075984</v>
      </c>
      <c r="U96" s="217"/>
      <c r="V96" s="221">
        <v>15.522424248744649</v>
      </c>
      <c r="W96" s="217"/>
      <c r="X96" s="251">
        <v>12.361728606390901</v>
      </c>
      <c r="Y96" s="247"/>
      <c r="Z96" s="251">
        <v>19.083960586635108</v>
      </c>
      <c r="AA96" s="247"/>
      <c r="AB96" s="251">
        <v>26.948036615706577</v>
      </c>
      <c r="AC96" s="247"/>
      <c r="AD96" s="251">
        <v>14.043436003272999</v>
      </c>
      <c r="AE96" s="247"/>
      <c r="AF96" s="251">
        <v>13.082105254034188</v>
      </c>
      <c r="AG96" s="247"/>
      <c r="AH96" s="251">
        <v>14.383566293523049</v>
      </c>
      <c r="AI96" s="247"/>
      <c r="AJ96" s="236">
        <v>8.14072452448268</v>
      </c>
      <c r="AK96" s="232"/>
      <c r="AL96" s="236">
        <v>17.764165928674849</v>
      </c>
      <c r="AM96" s="232"/>
      <c r="AN96" s="236">
        <v>23.397584983988622</v>
      </c>
      <c r="AO96" s="232"/>
      <c r="AP96" s="236">
        <v>20.648330202183949</v>
      </c>
      <c r="AQ96" s="232"/>
      <c r="AR96" s="236">
        <v>14.96989804014917</v>
      </c>
      <c r="AS96" s="232"/>
      <c r="AT96" s="236">
        <v>11.683865737697735</v>
      </c>
      <c r="AU96" s="232"/>
      <c r="AV96" s="267">
        <v>18.336408836947051</v>
      </c>
      <c r="AW96" s="263"/>
      <c r="AX96" s="267">
        <v>17.279845277534971</v>
      </c>
      <c r="AY96" s="263"/>
      <c r="AZ96" s="267">
        <v>20.161437531623708</v>
      </c>
      <c r="BA96" s="263"/>
      <c r="BB96" s="267">
        <v>23.091839273442787</v>
      </c>
      <c r="BC96" s="263"/>
      <c r="BD96" s="267">
        <v>10.490489771072831</v>
      </c>
      <c r="BE96" s="263"/>
      <c r="BF96" s="267">
        <v>11.949432010669366</v>
      </c>
      <c r="BG96" s="263"/>
      <c r="BH96" s="267">
        <v>14.446083865104807</v>
      </c>
      <c r="BI96" s="263"/>
      <c r="BJ96" s="267">
        <v>11.362597745506244</v>
      </c>
      <c r="BK96" s="263"/>
      <c r="BL96" s="193">
        <v>20.037151618845936</v>
      </c>
      <c r="BM96" s="189"/>
      <c r="BN96" s="193">
        <v>22.938786343224457</v>
      </c>
      <c r="BO96" s="189"/>
      <c r="BP96" s="193">
        <v>14.955247715222153</v>
      </c>
      <c r="BQ96" s="189"/>
      <c r="BR96" s="193">
        <v>14.617281240692098</v>
      </c>
      <c r="BS96" s="189"/>
      <c r="BT96" s="207">
        <v>17.747182885643191</v>
      </c>
      <c r="BU96" s="203"/>
      <c r="BV96" s="207">
        <v>19.592726874766118</v>
      </c>
      <c r="BW96" s="203"/>
      <c r="BX96" s="207">
        <v>14.761549897332145</v>
      </c>
      <c r="BY96" s="203"/>
      <c r="BZ96" s="207">
        <v>18.825304687145934</v>
      </c>
      <c r="CA96" s="203"/>
      <c r="CB96" s="207">
        <v>20.802744402578863</v>
      </c>
      <c r="CC96" s="203"/>
      <c r="CD96" s="207">
        <v>18.173622248713187</v>
      </c>
      <c r="CE96" s="203"/>
      <c r="CF96" s="207">
        <v>18.219077341231216</v>
      </c>
      <c r="CG96" s="203"/>
      <c r="CH96" s="207">
        <v>17.33517345310608</v>
      </c>
      <c r="CI96" s="203"/>
      <c r="CJ96" s="221">
        <v>17.610774133854221</v>
      </c>
      <c r="CK96" s="217"/>
      <c r="CL96" s="221">
        <v>17.18935855816148</v>
      </c>
      <c r="CM96" s="217"/>
      <c r="CN96" s="221">
        <v>17.236876379185819</v>
      </c>
      <c r="CO96" s="217"/>
      <c r="CP96" s="221">
        <v>19.92327703379819</v>
      </c>
      <c r="CQ96" s="217"/>
      <c r="CR96" s="251">
        <v>17.883223432842026</v>
      </c>
      <c r="CS96" s="247"/>
      <c r="CT96" s="251">
        <v>18.771297857713552</v>
      </c>
      <c r="CU96" s="247"/>
      <c r="CV96" s="251">
        <v>17.045640326643039</v>
      </c>
      <c r="CW96" s="247"/>
      <c r="CX96" s="251">
        <v>18.441180837638733</v>
      </c>
      <c r="CY96" s="247"/>
      <c r="CZ96" s="236">
        <v>15.616264957906717</v>
      </c>
      <c r="DA96" s="232"/>
      <c r="DB96" s="236">
        <v>18.443064972596556</v>
      </c>
      <c r="DC96" s="232"/>
      <c r="DD96" s="236">
        <v>22.60457965399171</v>
      </c>
      <c r="DE96" s="232"/>
      <c r="DF96" s="236">
        <v>14.556765425214399</v>
      </c>
      <c r="DG96" s="232"/>
      <c r="DH96" s="236">
        <v>16.131493070761582</v>
      </c>
      <c r="DI96" s="232"/>
      <c r="DJ96" s="236">
        <v>15.59512576223379</v>
      </c>
      <c r="DK96" s="232"/>
      <c r="DL96" s="267">
        <v>17.767874757497761</v>
      </c>
      <c r="DM96" s="263"/>
      <c r="DN96" s="267">
        <v>20.181504704089992</v>
      </c>
      <c r="DO96" s="263"/>
      <c r="DP96" s="267">
        <v>19.173630334524141</v>
      </c>
      <c r="DQ96" s="263"/>
      <c r="DR96" s="267">
        <v>18.720358055615598</v>
      </c>
      <c r="DS96" s="263"/>
      <c r="DT96" s="267">
        <v>17.304107061834287</v>
      </c>
      <c r="DU96" s="263"/>
      <c r="DV96" s="267">
        <v>17.565382549041217</v>
      </c>
      <c r="DW96" s="263"/>
      <c r="DX96" s="193">
        <v>17.18784990190213</v>
      </c>
      <c r="DY96" s="189"/>
      <c r="DZ96" s="193">
        <v>21.250917520122634</v>
      </c>
      <c r="EA96" s="189"/>
      <c r="EB96" s="193">
        <v>20.055577261086224</v>
      </c>
      <c r="EC96" s="189"/>
      <c r="ED96" s="193">
        <v>17.777533887938826</v>
      </c>
      <c r="EE96" s="189"/>
      <c r="EF96" s="193">
        <v>9.9619165114698092</v>
      </c>
      <c r="EG96" s="189"/>
      <c r="EH96" s="193">
        <v>13.887169372870268</v>
      </c>
      <c r="EI96" s="189"/>
    </row>
    <row r="97" spans="1:139" outlineLevel="1" x14ac:dyDescent="0.2">
      <c r="A97"/>
      <c r="B97" s="13" t="s">
        <v>121</v>
      </c>
      <c r="C97" s="12">
        <v>17.685307121286122</v>
      </c>
      <c r="D97" s="193">
        <v>16.274503328572333</v>
      </c>
      <c r="E97" s="189"/>
      <c r="F97" s="193">
        <v>19.071270436859361</v>
      </c>
      <c r="G97" s="189"/>
      <c r="H97" s="207">
        <v>15.729905151930765</v>
      </c>
      <c r="I97" s="203"/>
      <c r="J97" s="207">
        <v>17.68248758518293</v>
      </c>
      <c r="K97" s="203"/>
      <c r="L97" s="207">
        <v>17.175536271798098</v>
      </c>
      <c r="M97" s="203"/>
      <c r="N97" s="207">
        <v>21.634389534506326</v>
      </c>
      <c r="O97" s="203"/>
      <c r="P97" s="221">
        <v>17.414296602905864</v>
      </c>
      <c r="Q97" s="217"/>
      <c r="R97" s="221">
        <v>18.310266216592904</v>
      </c>
      <c r="S97" s="217"/>
      <c r="T97" s="221">
        <v>13.665640874789277</v>
      </c>
      <c r="U97" s="217"/>
      <c r="V97" s="221">
        <v>21.245743798851805</v>
      </c>
      <c r="W97" s="217"/>
      <c r="X97" s="251">
        <v>21.260484568658018</v>
      </c>
      <c r="Y97" s="247"/>
      <c r="Z97" s="251">
        <v>18.266556361199033</v>
      </c>
      <c r="AA97" s="247"/>
      <c r="AB97" s="251">
        <v>16.584688112819723</v>
      </c>
      <c r="AC97" s="247"/>
      <c r="AD97" s="251">
        <v>23.994678004440388</v>
      </c>
      <c r="AE97" s="247"/>
      <c r="AF97" s="251">
        <v>22.332299731523555</v>
      </c>
      <c r="AG97" s="247"/>
      <c r="AH97" s="251">
        <v>13.604920336440223</v>
      </c>
      <c r="AI97" s="247"/>
      <c r="AJ97" s="236">
        <v>17.477255475737341</v>
      </c>
      <c r="AK97" s="232"/>
      <c r="AL97" s="236">
        <v>14.302984298345493</v>
      </c>
      <c r="AM97" s="232"/>
      <c r="AN97" s="236">
        <v>13.16509062359682</v>
      </c>
      <c r="AO97" s="232"/>
      <c r="AP97" s="236">
        <v>19.967092551591055</v>
      </c>
      <c r="AQ97" s="232"/>
      <c r="AR97" s="236">
        <v>25.554927398238515</v>
      </c>
      <c r="AS97" s="232"/>
      <c r="AT97" s="236">
        <v>13.99779808071513</v>
      </c>
      <c r="AU97" s="232"/>
      <c r="AV97" s="267">
        <v>18.459357789282439</v>
      </c>
      <c r="AW97" s="263"/>
      <c r="AX97" s="267">
        <v>23.788578998345464</v>
      </c>
      <c r="AY97" s="263"/>
      <c r="AZ97" s="267">
        <v>19.364622264653605</v>
      </c>
      <c r="BA97" s="263"/>
      <c r="BB97" s="267">
        <v>17.740527374767677</v>
      </c>
      <c r="BC97" s="263"/>
      <c r="BD97" s="267">
        <v>6.7535855964160909</v>
      </c>
      <c r="BE97" s="263"/>
      <c r="BF97" s="267">
        <v>19.559181100471289</v>
      </c>
      <c r="BG97" s="263" t="s">
        <v>175</v>
      </c>
      <c r="BH97" s="267">
        <v>12.982089537333852</v>
      </c>
      <c r="BI97" s="263"/>
      <c r="BJ97" s="267">
        <v>15.668096882299176</v>
      </c>
      <c r="BK97" s="263"/>
      <c r="BL97" s="193">
        <v>18.125416501968527</v>
      </c>
      <c r="BM97" s="189"/>
      <c r="BN97" s="193">
        <v>20.507979807220497</v>
      </c>
      <c r="BO97" s="189"/>
      <c r="BP97" s="193">
        <v>14.551268169613618</v>
      </c>
      <c r="BQ97" s="189"/>
      <c r="BR97" s="193">
        <v>17.810936688656181</v>
      </c>
      <c r="BS97" s="189"/>
      <c r="BT97" s="207">
        <v>16.812789863124493</v>
      </c>
      <c r="BU97" s="203"/>
      <c r="BV97" s="207">
        <v>18.52648784517514</v>
      </c>
      <c r="BW97" s="203"/>
      <c r="BX97" s="207">
        <v>22.254508601620394</v>
      </c>
      <c r="BY97" s="203"/>
      <c r="BZ97" s="207">
        <v>17.760784172269286</v>
      </c>
      <c r="CA97" s="203"/>
      <c r="CB97" s="207">
        <v>13.123419998969521</v>
      </c>
      <c r="CC97" s="203"/>
      <c r="CD97" s="207">
        <v>19.337391658557561</v>
      </c>
      <c r="CE97" s="203"/>
      <c r="CF97" s="207">
        <v>9.4924387625058948</v>
      </c>
      <c r="CG97" s="203"/>
      <c r="CH97" s="207">
        <v>21.534908929237073</v>
      </c>
      <c r="CI97" s="203" t="s">
        <v>214</v>
      </c>
      <c r="CJ97" s="221">
        <v>15.75105061314685</v>
      </c>
      <c r="CK97" s="217"/>
      <c r="CL97" s="221">
        <v>20.649720147935934</v>
      </c>
      <c r="CM97" s="217"/>
      <c r="CN97" s="221">
        <v>17.711352430515532</v>
      </c>
      <c r="CO97" s="217"/>
      <c r="CP97" s="221">
        <v>17.14029098087877</v>
      </c>
      <c r="CQ97" s="217"/>
      <c r="CR97" s="251">
        <v>12.778867251019905</v>
      </c>
      <c r="CS97" s="247"/>
      <c r="CT97" s="251">
        <v>23.597833572274659</v>
      </c>
      <c r="CU97" s="247" t="s">
        <v>219</v>
      </c>
      <c r="CV97" s="251">
        <v>17.76283779068434</v>
      </c>
      <c r="CW97" s="247"/>
      <c r="CX97" s="251">
        <v>17.306530573678739</v>
      </c>
      <c r="CY97" s="247"/>
      <c r="CZ97" s="236">
        <v>16.377879418676542</v>
      </c>
      <c r="DA97" s="232"/>
      <c r="DB97" s="236">
        <v>15.751479459655394</v>
      </c>
      <c r="DC97" s="232"/>
      <c r="DD97" s="236">
        <v>16.789718117378506</v>
      </c>
      <c r="DE97" s="232"/>
      <c r="DF97" s="236">
        <v>29.843132778568901</v>
      </c>
      <c r="DG97" s="232" t="s">
        <v>224</v>
      </c>
      <c r="DH97" s="236">
        <v>16.276152400864568</v>
      </c>
      <c r="DI97" s="232"/>
      <c r="DJ97" s="236">
        <v>15.265069653709961</v>
      </c>
      <c r="DK97" s="232"/>
      <c r="DL97" s="267">
        <v>18.468744606894916</v>
      </c>
      <c r="DM97" s="263"/>
      <c r="DN97" s="267">
        <v>19.310868334923949</v>
      </c>
      <c r="DO97" s="263"/>
      <c r="DP97" s="267">
        <v>12.847913148079446</v>
      </c>
      <c r="DQ97" s="263"/>
      <c r="DR97" s="267">
        <v>13.143460653298918</v>
      </c>
      <c r="DS97" s="263"/>
      <c r="DT97" s="267">
        <v>16.134147747607447</v>
      </c>
      <c r="DU97" s="263"/>
      <c r="DV97" s="267">
        <v>19.797722200793476</v>
      </c>
      <c r="DW97" s="263"/>
      <c r="DX97" s="193">
        <v>17.9666166428803</v>
      </c>
      <c r="DY97" s="189"/>
      <c r="DZ97" s="193">
        <v>19.723887680881791</v>
      </c>
      <c r="EA97" s="189"/>
      <c r="EB97" s="193">
        <v>14.474302594638058</v>
      </c>
      <c r="EC97" s="189"/>
      <c r="ED97" s="193">
        <v>19.267705238288134</v>
      </c>
      <c r="EE97" s="189"/>
      <c r="EF97" s="193">
        <v>18.603356187361712</v>
      </c>
      <c r="EG97" s="189"/>
      <c r="EH97" s="193">
        <v>17.068903230845841</v>
      </c>
      <c r="EI97" s="189"/>
    </row>
    <row r="98" spans="1:139" outlineLevel="1" x14ac:dyDescent="0.2">
      <c r="A98"/>
      <c r="B98" s="13" t="s">
        <v>122</v>
      </c>
      <c r="C98" s="12">
        <v>12.503305060258215</v>
      </c>
      <c r="D98" s="193">
        <v>11.157494172590397</v>
      </c>
      <c r="E98" s="189"/>
      <c r="F98" s="193">
        <v>13.825419821814615</v>
      </c>
      <c r="G98" s="189"/>
      <c r="H98" s="207">
        <v>9.9491126448454477</v>
      </c>
      <c r="I98" s="203"/>
      <c r="J98" s="207">
        <v>14.23098476770139</v>
      </c>
      <c r="K98" s="203"/>
      <c r="L98" s="207">
        <v>13.156750892835129</v>
      </c>
      <c r="M98" s="203"/>
      <c r="N98" s="207">
        <v>13.076914569979357</v>
      </c>
      <c r="O98" s="203"/>
      <c r="P98" s="221">
        <v>10.886434657616448</v>
      </c>
      <c r="Q98" s="217"/>
      <c r="R98" s="221">
        <v>14.569009054548557</v>
      </c>
      <c r="S98" s="217"/>
      <c r="T98" s="221">
        <v>11.777919829839229</v>
      </c>
      <c r="U98" s="217"/>
      <c r="V98" s="221">
        <v>11.70070758529349</v>
      </c>
      <c r="W98" s="217"/>
      <c r="X98" s="251">
        <v>16.950303260220863</v>
      </c>
      <c r="Y98" s="247"/>
      <c r="Z98" s="251">
        <v>10.951064791861434</v>
      </c>
      <c r="AA98" s="247"/>
      <c r="AB98" s="251">
        <v>13.840249937242289</v>
      </c>
      <c r="AC98" s="247"/>
      <c r="AD98" s="251">
        <v>15.732104655128486</v>
      </c>
      <c r="AE98" s="247"/>
      <c r="AF98" s="251">
        <v>5.8369249371063043</v>
      </c>
      <c r="AG98" s="247"/>
      <c r="AH98" s="251">
        <v>19.116765213692041</v>
      </c>
      <c r="AI98" s="247"/>
      <c r="AJ98" s="236">
        <v>13.523032121287367</v>
      </c>
      <c r="AK98" s="232"/>
      <c r="AL98" s="236">
        <v>9.8165211768509533</v>
      </c>
      <c r="AM98" s="232"/>
      <c r="AN98" s="236">
        <v>14.972185102830425</v>
      </c>
      <c r="AO98" s="232"/>
      <c r="AP98" s="236">
        <v>15.46528555839371</v>
      </c>
      <c r="AQ98" s="232"/>
      <c r="AR98" s="236">
        <v>6.6792132825517729</v>
      </c>
      <c r="AS98" s="232"/>
      <c r="AT98" s="236">
        <v>17.699158669646376</v>
      </c>
      <c r="AU98" s="232"/>
      <c r="AV98" s="267">
        <v>14.158636185008628</v>
      </c>
      <c r="AW98" s="263"/>
      <c r="AX98" s="267">
        <v>15.118654880795415</v>
      </c>
      <c r="AY98" s="263"/>
      <c r="AZ98" s="267">
        <v>12.180830557138677</v>
      </c>
      <c r="BA98" s="263"/>
      <c r="BB98" s="267">
        <v>14.176702584567884</v>
      </c>
      <c r="BC98" s="263"/>
      <c r="BD98" s="267">
        <v>7.7058607663718908</v>
      </c>
      <c r="BE98" s="263"/>
      <c r="BF98" s="267">
        <v>14.424870599637208</v>
      </c>
      <c r="BG98" s="263"/>
      <c r="BH98" s="267">
        <v>6.4159601346155766</v>
      </c>
      <c r="BI98" s="263"/>
      <c r="BJ98" s="267">
        <v>9.6994008327409365</v>
      </c>
      <c r="BK98" s="263"/>
      <c r="BL98" s="193">
        <v>13.05568675912594</v>
      </c>
      <c r="BM98" s="189"/>
      <c r="BN98" s="193">
        <v>15.381608602722865</v>
      </c>
      <c r="BO98" s="189"/>
      <c r="BP98" s="193">
        <v>9.3902409861046721</v>
      </c>
      <c r="BQ98" s="189"/>
      <c r="BR98" s="193">
        <v>12.460274386269203</v>
      </c>
      <c r="BS98" s="189"/>
      <c r="BT98" s="207">
        <v>11.066623433873865</v>
      </c>
      <c r="BU98" s="203"/>
      <c r="BV98" s="207">
        <v>14.068159513100946</v>
      </c>
      <c r="BW98" s="203"/>
      <c r="BX98" s="207">
        <v>12.767555069449559</v>
      </c>
      <c r="BY98" s="203"/>
      <c r="BZ98" s="207">
        <v>17.824556438224143</v>
      </c>
      <c r="CA98" s="203"/>
      <c r="CB98" s="207">
        <v>12.535464322932683</v>
      </c>
      <c r="CC98" s="203"/>
      <c r="CD98" s="207">
        <v>10.667448255623389</v>
      </c>
      <c r="CE98" s="203"/>
      <c r="CF98" s="207">
        <v>7.5967894307532857</v>
      </c>
      <c r="CG98" s="203"/>
      <c r="CH98" s="207">
        <v>10.156311735872039</v>
      </c>
      <c r="CI98" s="203"/>
      <c r="CJ98" s="221">
        <v>12.394841260268135</v>
      </c>
      <c r="CK98" s="217"/>
      <c r="CL98" s="221">
        <v>13.746761429293914</v>
      </c>
      <c r="CM98" s="217"/>
      <c r="CN98" s="221">
        <v>10.252935753898711</v>
      </c>
      <c r="CO98" s="217"/>
      <c r="CP98" s="221">
        <v>13.497010362662403</v>
      </c>
      <c r="CQ98" s="217"/>
      <c r="CR98" s="251">
        <v>12.711293234341888</v>
      </c>
      <c r="CS98" s="247"/>
      <c r="CT98" s="251">
        <v>14.166422980125262</v>
      </c>
      <c r="CU98" s="247"/>
      <c r="CV98" s="251">
        <v>10.531714856421422</v>
      </c>
      <c r="CW98" s="247"/>
      <c r="CX98" s="251">
        <v>13.720046822024917</v>
      </c>
      <c r="CY98" s="247"/>
      <c r="CZ98" s="236">
        <v>10.177766843304562</v>
      </c>
      <c r="DA98" s="232"/>
      <c r="DB98" s="236">
        <v>13.430580988640539</v>
      </c>
      <c r="DC98" s="232"/>
      <c r="DD98" s="236">
        <v>15.4040517811017</v>
      </c>
      <c r="DE98" s="232"/>
      <c r="DF98" s="236">
        <v>17.766059569499308</v>
      </c>
      <c r="DG98" s="232"/>
      <c r="DH98" s="236">
        <v>15.154948413315063</v>
      </c>
      <c r="DI98" s="232"/>
      <c r="DJ98" s="236">
        <v>12.807556894854859</v>
      </c>
      <c r="DK98" s="232"/>
      <c r="DL98" s="267">
        <v>12.180679652116709</v>
      </c>
      <c r="DM98" s="263"/>
      <c r="DN98" s="267">
        <v>14.862036007124164</v>
      </c>
      <c r="DO98" s="263"/>
      <c r="DP98" s="267">
        <v>10.810137682155801</v>
      </c>
      <c r="DQ98" s="263"/>
      <c r="DR98" s="267">
        <v>15.206794283316592</v>
      </c>
      <c r="DS98" s="263"/>
      <c r="DT98" s="267">
        <v>10.013087731225319</v>
      </c>
      <c r="DU98" s="263"/>
      <c r="DV98" s="267">
        <v>10.555312568878113</v>
      </c>
      <c r="DW98" s="263"/>
      <c r="DX98" s="193">
        <v>10.74085339019779</v>
      </c>
      <c r="DY98" s="189"/>
      <c r="DZ98" s="193">
        <v>15.483008134472753</v>
      </c>
      <c r="EA98" s="189"/>
      <c r="EB98" s="193">
        <v>8.8214496385612797</v>
      </c>
      <c r="EC98" s="189"/>
      <c r="ED98" s="193">
        <v>13.315520506368518</v>
      </c>
      <c r="EE98" s="189"/>
      <c r="EF98" s="193">
        <v>18.793330913147805</v>
      </c>
      <c r="EG98" s="189"/>
      <c r="EH98" s="193">
        <v>11.207686073873012</v>
      </c>
      <c r="EI98" s="189"/>
    </row>
    <row r="99" spans="1:139" outlineLevel="1" x14ac:dyDescent="0.2">
      <c r="A99"/>
      <c r="B99" s="13" t="s">
        <v>123</v>
      </c>
      <c r="C99" s="12">
        <v>16.431941329746564</v>
      </c>
      <c r="D99" s="193">
        <v>17.728517705142707</v>
      </c>
      <c r="E99" s="189"/>
      <c r="F99" s="193">
        <v>15.158194192533896</v>
      </c>
      <c r="G99" s="189"/>
      <c r="H99" s="207">
        <v>19.471422776230856</v>
      </c>
      <c r="I99" s="203"/>
      <c r="J99" s="207">
        <v>15.508692912097546</v>
      </c>
      <c r="K99" s="203"/>
      <c r="L99" s="207">
        <v>14.844896434777606</v>
      </c>
      <c r="M99" s="203"/>
      <c r="N99" s="207">
        <v>14.511318433137843</v>
      </c>
      <c r="O99" s="203"/>
      <c r="P99" s="221">
        <v>19.47318497223543</v>
      </c>
      <c r="Q99" s="217"/>
      <c r="R99" s="221">
        <v>15.871920588958535</v>
      </c>
      <c r="S99" s="217"/>
      <c r="T99" s="221">
        <v>13.735164673537962</v>
      </c>
      <c r="U99" s="217"/>
      <c r="V99" s="221">
        <v>13.118811235849599</v>
      </c>
      <c r="W99" s="217"/>
      <c r="X99" s="251">
        <v>14.376986458540555</v>
      </c>
      <c r="Y99" s="247"/>
      <c r="Z99" s="251">
        <v>10.67278096271084</v>
      </c>
      <c r="AA99" s="247"/>
      <c r="AB99" s="251">
        <v>19.494906062270562</v>
      </c>
      <c r="AC99" s="247" t="s">
        <v>191</v>
      </c>
      <c r="AD99" s="251">
        <v>17.206842026510223</v>
      </c>
      <c r="AE99" s="247"/>
      <c r="AF99" s="251">
        <v>21.563707358508147</v>
      </c>
      <c r="AG99" s="247"/>
      <c r="AH99" s="251">
        <v>4.5232066364802757</v>
      </c>
      <c r="AI99" s="247"/>
      <c r="AJ99" s="236">
        <v>9.3891784940288261</v>
      </c>
      <c r="AK99" s="232"/>
      <c r="AL99" s="236">
        <v>12.8983398698323</v>
      </c>
      <c r="AM99" s="232"/>
      <c r="AN99" s="236">
        <v>18.665153808718472</v>
      </c>
      <c r="AO99" s="232" t="s">
        <v>197</v>
      </c>
      <c r="AP99" s="236">
        <v>14.513302726651874</v>
      </c>
      <c r="AQ99" s="232"/>
      <c r="AR99" s="236">
        <v>24.675424502102675</v>
      </c>
      <c r="AS99" s="232"/>
      <c r="AT99" s="236">
        <v>0</v>
      </c>
      <c r="AU99" s="232"/>
      <c r="AV99" s="267">
        <v>22.060829474715373</v>
      </c>
      <c r="AW99" s="263"/>
      <c r="AX99" s="267">
        <v>14.982080407060064</v>
      </c>
      <c r="AY99" s="263"/>
      <c r="AZ99" s="267">
        <v>16.814389592216319</v>
      </c>
      <c r="BA99" s="263"/>
      <c r="BB99" s="267">
        <v>16.044438036200535</v>
      </c>
      <c r="BC99" s="263"/>
      <c r="BD99" s="267">
        <v>15.546423006184071</v>
      </c>
      <c r="BE99" s="263"/>
      <c r="BF99" s="267">
        <v>16.152638823968335</v>
      </c>
      <c r="BG99" s="263"/>
      <c r="BH99" s="267">
        <v>15.702986907936127</v>
      </c>
      <c r="BI99" s="263"/>
      <c r="BJ99" s="267">
        <v>11.000177719102265</v>
      </c>
      <c r="BK99" s="263"/>
      <c r="BL99" s="193">
        <v>17.840910874643431</v>
      </c>
      <c r="BM99" s="189"/>
      <c r="BN99" s="193">
        <v>16.672675131068292</v>
      </c>
      <c r="BO99" s="189"/>
      <c r="BP99" s="193">
        <v>17.623877539361683</v>
      </c>
      <c r="BQ99" s="189"/>
      <c r="BR99" s="193">
        <v>13.829636394260795</v>
      </c>
      <c r="BS99" s="189"/>
      <c r="BT99" s="207">
        <v>18.27836332304733</v>
      </c>
      <c r="BU99" s="203" t="s">
        <v>209</v>
      </c>
      <c r="BV99" s="207">
        <v>9.1866364002231151</v>
      </c>
      <c r="BW99" s="203"/>
      <c r="BX99" s="207">
        <v>16.792994406632701</v>
      </c>
      <c r="BY99" s="203"/>
      <c r="BZ99" s="207">
        <v>16.780892552749698</v>
      </c>
      <c r="CA99" s="203"/>
      <c r="CB99" s="207">
        <v>15.136181337995982</v>
      </c>
      <c r="CC99" s="203"/>
      <c r="CD99" s="207">
        <v>16.270287671942878</v>
      </c>
      <c r="CE99" s="203"/>
      <c r="CF99" s="207">
        <v>20.951630730061886</v>
      </c>
      <c r="CG99" s="203"/>
      <c r="CH99" s="207">
        <v>16.542080766783975</v>
      </c>
      <c r="CI99" s="203"/>
      <c r="CJ99" s="221">
        <v>16.120968876316212</v>
      </c>
      <c r="CK99" s="217"/>
      <c r="CL99" s="221">
        <v>15.146516187909148</v>
      </c>
      <c r="CM99" s="217"/>
      <c r="CN99" s="221">
        <v>18.611477097042034</v>
      </c>
      <c r="CO99" s="217"/>
      <c r="CP99" s="221">
        <v>15.6889094407692</v>
      </c>
      <c r="CQ99" s="217"/>
      <c r="CR99" s="251">
        <v>15.786906450976339</v>
      </c>
      <c r="CS99" s="247"/>
      <c r="CT99" s="251">
        <v>15.872149683049322</v>
      </c>
      <c r="CU99" s="247"/>
      <c r="CV99" s="251">
        <v>18.572100647751903</v>
      </c>
      <c r="CW99" s="247"/>
      <c r="CX99" s="251">
        <v>14.906889956164147</v>
      </c>
      <c r="CY99" s="247"/>
      <c r="CZ99" s="236">
        <v>17.137177404195111</v>
      </c>
      <c r="DA99" s="232"/>
      <c r="DB99" s="236">
        <v>13.195934508659173</v>
      </c>
      <c r="DC99" s="232"/>
      <c r="DD99" s="236">
        <v>15.791133537574337</v>
      </c>
      <c r="DE99" s="232"/>
      <c r="DF99" s="236">
        <v>15.272332948478763</v>
      </c>
      <c r="DG99" s="232"/>
      <c r="DH99" s="236">
        <v>20.187322530973201</v>
      </c>
      <c r="DI99" s="232"/>
      <c r="DJ99" s="236">
        <v>18.248257388975134</v>
      </c>
      <c r="DK99" s="232"/>
      <c r="DL99" s="267">
        <v>16.559042788035484</v>
      </c>
      <c r="DM99" s="263"/>
      <c r="DN99" s="267">
        <v>16.628599743106069</v>
      </c>
      <c r="DO99" s="263"/>
      <c r="DP99" s="267">
        <v>20.222180136099603</v>
      </c>
      <c r="DQ99" s="263"/>
      <c r="DR99" s="267">
        <v>13.650790875685022</v>
      </c>
      <c r="DS99" s="263"/>
      <c r="DT99" s="267">
        <v>16.288310439786702</v>
      </c>
      <c r="DU99" s="263"/>
      <c r="DV99" s="267">
        <v>13.103716662993168</v>
      </c>
      <c r="DW99" s="263"/>
      <c r="DX99" s="193">
        <v>18.794460172041717</v>
      </c>
      <c r="DY99" s="189"/>
      <c r="DZ99" s="193">
        <v>17.262944832388492</v>
      </c>
      <c r="EA99" s="189"/>
      <c r="EB99" s="193">
        <v>17.70375248100877</v>
      </c>
      <c r="EC99" s="189"/>
      <c r="ED99" s="193">
        <v>14.673552341974352</v>
      </c>
      <c r="EE99" s="189"/>
      <c r="EF99" s="193">
        <v>15.919114644975508</v>
      </c>
      <c r="EG99" s="189"/>
      <c r="EH99" s="193">
        <v>11.435964030111601</v>
      </c>
      <c r="EI99" s="189"/>
    </row>
    <row r="100" spans="1:139" outlineLevel="1" x14ac:dyDescent="0.2">
      <c r="A100"/>
      <c r="B100" s="13" t="s">
        <v>124</v>
      </c>
      <c r="C100" s="12">
        <v>14.416174210557269</v>
      </c>
      <c r="D100" s="193">
        <v>13.002123874078416</v>
      </c>
      <c r="E100" s="189"/>
      <c r="F100" s="193">
        <v>15.805326906953002</v>
      </c>
      <c r="G100" s="189"/>
      <c r="H100" s="207">
        <v>12.562746813331161</v>
      </c>
      <c r="I100" s="203"/>
      <c r="J100" s="207">
        <v>15.546026594191213</v>
      </c>
      <c r="K100" s="203"/>
      <c r="L100" s="207">
        <v>13.729069396871722</v>
      </c>
      <c r="M100" s="203"/>
      <c r="N100" s="207">
        <v>16.283888103804834</v>
      </c>
      <c r="O100" s="203"/>
      <c r="P100" s="221">
        <v>12.766091537564963</v>
      </c>
      <c r="Q100" s="217"/>
      <c r="R100" s="221">
        <v>16.299145459016387</v>
      </c>
      <c r="S100" s="217"/>
      <c r="T100" s="221">
        <v>13.542376141287745</v>
      </c>
      <c r="U100" s="217"/>
      <c r="V100" s="221">
        <v>14.394302817305336</v>
      </c>
      <c r="W100" s="217"/>
      <c r="X100" s="251">
        <v>14.474372082479377</v>
      </c>
      <c r="Y100" s="247"/>
      <c r="Z100" s="251">
        <v>13.18024330206881</v>
      </c>
      <c r="AA100" s="247"/>
      <c r="AB100" s="251">
        <v>17.955664473667859</v>
      </c>
      <c r="AC100" s="247"/>
      <c r="AD100" s="251">
        <v>19.724814545709442</v>
      </c>
      <c r="AE100" s="247"/>
      <c r="AF100" s="251">
        <v>16.754967030919211</v>
      </c>
      <c r="AG100" s="247"/>
      <c r="AH100" s="251">
        <v>18.377266525012388</v>
      </c>
      <c r="AI100" s="247"/>
      <c r="AJ100" s="236">
        <v>16.175682492884725</v>
      </c>
      <c r="AK100" s="232"/>
      <c r="AL100" s="236">
        <v>9.0613095489112858</v>
      </c>
      <c r="AM100" s="232"/>
      <c r="AN100" s="236">
        <v>19.424181887111043</v>
      </c>
      <c r="AO100" s="232"/>
      <c r="AP100" s="236">
        <v>17.087812335189341</v>
      </c>
      <c r="AQ100" s="232"/>
      <c r="AR100" s="236">
        <v>16.94809767515671</v>
      </c>
      <c r="AS100" s="232"/>
      <c r="AT100" s="236">
        <v>17.435969063581787</v>
      </c>
      <c r="AU100" s="232"/>
      <c r="AV100" s="267">
        <v>13.121935175218276</v>
      </c>
      <c r="AW100" s="263"/>
      <c r="AX100" s="267">
        <v>13.142041323843317</v>
      </c>
      <c r="AY100" s="263"/>
      <c r="AZ100" s="267">
        <v>13.730517842557511</v>
      </c>
      <c r="BA100" s="263"/>
      <c r="BB100" s="267">
        <v>18.481035134803108</v>
      </c>
      <c r="BC100" s="263"/>
      <c r="BD100" s="267">
        <v>14.771100054773516</v>
      </c>
      <c r="BE100" s="263"/>
      <c r="BF100" s="267">
        <v>9.8815992040859211</v>
      </c>
      <c r="BG100" s="263"/>
      <c r="BH100" s="267">
        <v>8.3184786842026419</v>
      </c>
      <c r="BI100" s="263"/>
      <c r="BJ100" s="267">
        <v>17.315679902508379</v>
      </c>
      <c r="BK100" s="263"/>
      <c r="BL100" s="193">
        <v>12.394492113753733</v>
      </c>
      <c r="BM100" s="189"/>
      <c r="BN100" s="193">
        <v>15.540998639326888</v>
      </c>
      <c r="BO100" s="189"/>
      <c r="BP100" s="193">
        <v>13.567840531208359</v>
      </c>
      <c r="BQ100" s="189"/>
      <c r="BR100" s="193">
        <v>16.03720528344715</v>
      </c>
      <c r="BS100" s="189"/>
      <c r="BT100" s="207">
        <v>13.292990822746765</v>
      </c>
      <c r="BU100" s="203"/>
      <c r="BV100" s="207">
        <v>17.74708573687964</v>
      </c>
      <c r="BW100" s="203"/>
      <c r="BX100" s="207">
        <v>9.7484873728930417</v>
      </c>
      <c r="BY100" s="203"/>
      <c r="BZ100" s="207">
        <v>14.620728437436124</v>
      </c>
      <c r="CA100" s="203"/>
      <c r="CB100" s="207">
        <v>17.126587895841681</v>
      </c>
      <c r="CC100" s="203"/>
      <c r="CD100" s="207">
        <v>9.2830721994015448</v>
      </c>
      <c r="CE100" s="203"/>
      <c r="CF100" s="207">
        <v>14.154114778280634</v>
      </c>
      <c r="CG100" s="203"/>
      <c r="CH100" s="207">
        <v>23.22541919530147</v>
      </c>
      <c r="CI100" s="203"/>
      <c r="CJ100" s="221">
        <v>14.479106317262715</v>
      </c>
      <c r="CK100" s="217"/>
      <c r="CL100" s="221">
        <v>17.369157505431758</v>
      </c>
      <c r="CM100" s="217"/>
      <c r="CN100" s="221">
        <v>12.052737760193631</v>
      </c>
      <c r="CO100" s="217"/>
      <c r="CP100" s="221">
        <v>14.838944019459834</v>
      </c>
      <c r="CQ100" s="217"/>
      <c r="CR100" s="251">
        <v>13.107485432646449</v>
      </c>
      <c r="CS100" s="247"/>
      <c r="CT100" s="251">
        <v>16.291389392903177</v>
      </c>
      <c r="CU100" s="247"/>
      <c r="CV100" s="251">
        <v>12.983514121167135</v>
      </c>
      <c r="CW100" s="247"/>
      <c r="CX100" s="251">
        <v>15.646446823540501</v>
      </c>
      <c r="CY100" s="247"/>
      <c r="CZ100" s="236">
        <v>12.786890134637803</v>
      </c>
      <c r="DA100" s="232"/>
      <c r="DB100" s="236">
        <v>14.963398610714814</v>
      </c>
      <c r="DC100" s="232"/>
      <c r="DD100" s="236">
        <v>12.704053282873792</v>
      </c>
      <c r="DE100" s="232"/>
      <c r="DF100" s="236">
        <v>14.846248416451315</v>
      </c>
      <c r="DG100" s="232"/>
      <c r="DH100" s="236">
        <v>10.448717043148225</v>
      </c>
      <c r="DI100" s="232"/>
      <c r="DJ100" s="236">
        <v>14.890573159224424</v>
      </c>
      <c r="DK100" s="232"/>
      <c r="DL100" s="267">
        <v>13.736187915985965</v>
      </c>
      <c r="DM100" s="263"/>
      <c r="DN100" s="267">
        <v>19.007554218243168</v>
      </c>
      <c r="DO100" s="263"/>
      <c r="DP100" s="267">
        <v>14.169907442238959</v>
      </c>
      <c r="DQ100" s="263"/>
      <c r="DR100" s="267">
        <v>12.760658384935216</v>
      </c>
      <c r="DS100" s="263"/>
      <c r="DT100" s="267">
        <v>11.245640542616737</v>
      </c>
      <c r="DU100" s="263"/>
      <c r="DV100" s="267">
        <v>16.741428118800972</v>
      </c>
      <c r="DW100" s="263"/>
      <c r="DX100" s="193">
        <v>15.035991501526896</v>
      </c>
      <c r="DY100" s="189"/>
      <c r="DZ100" s="193">
        <v>16.222635080107409</v>
      </c>
      <c r="EA100" s="189"/>
      <c r="EB100" s="193">
        <v>11.170476570184196</v>
      </c>
      <c r="EC100" s="189"/>
      <c r="ED100" s="193">
        <v>15.593739835613816</v>
      </c>
      <c r="EE100" s="189"/>
      <c r="EF100" s="193">
        <v>14.820291386402296</v>
      </c>
      <c r="EG100" s="189"/>
      <c r="EH100" s="193">
        <v>15.349886251574416</v>
      </c>
      <c r="EI100" s="189"/>
    </row>
    <row r="101" spans="1:139" outlineLevel="1" x14ac:dyDescent="0.2">
      <c r="A101"/>
      <c r="B101" s="13" t="s">
        <v>125</v>
      </c>
      <c r="C101" s="12">
        <v>14.519259700596914</v>
      </c>
      <c r="D101" s="193">
        <v>13.970199714339968</v>
      </c>
      <c r="E101" s="189"/>
      <c r="F101" s="193">
        <v>15.058652210690381</v>
      </c>
      <c r="G101" s="189"/>
      <c r="H101" s="207">
        <v>13.95232484014913</v>
      </c>
      <c r="I101" s="203"/>
      <c r="J101" s="207">
        <v>15.327287170005292</v>
      </c>
      <c r="K101" s="203"/>
      <c r="L101" s="207">
        <v>13.999773538110889</v>
      </c>
      <c r="M101" s="203"/>
      <c r="N101" s="207">
        <v>14.562863114731632</v>
      </c>
      <c r="O101" s="203"/>
      <c r="P101" s="221">
        <v>13.755917950928337</v>
      </c>
      <c r="Q101" s="217"/>
      <c r="R101" s="221">
        <v>14.350640552169155</v>
      </c>
      <c r="S101" s="217"/>
      <c r="T101" s="221">
        <v>14.460667292701414</v>
      </c>
      <c r="U101" s="217"/>
      <c r="V101" s="221">
        <v>17.08170602620725</v>
      </c>
      <c r="W101" s="217"/>
      <c r="X101" s="251">
        <v>15.787111787592931</v>
      </c>
      <c r="Y101" s="247"/>
      <c r="Z101" s="251">
        <v>14.345720404718321</v>
      </c>
      <c r="AA101" s="247"/>
      <c r="AB101" s="251">
        <v>13.400076054888764</v>
      </c>
      <c r="AC101" s="247"/>
      <c r="AD101" s="251">
        <v>13.4511146129758</v>
      </c>
      <c r="AE101" s="247"/>
      <c r="AF101" s="251">
        <v>11.19973650737931</v>
      </c>
      <c r="AG101" s="247"/>
      <c r="AH101" s="251">
        <v>23.193059392968426</v>
      </c>
      <c r="AI101" s="247"/>
      <c r="AJ101" s="236">
        <v>16.564017054660724</v>
      </c>
      <c r="AK101" s="232"/>
      <c r="AL101" s="236">
        <v>15.379222367477755</v>
      </c>
      <c r="AM101" s="232"/>
      <c r="AN101" s="236">
        <v>14.496011271150211</v>
      </c>
      <c r="AO101" s="232"/>
      <c r="AP101" s="236">
        <v>17.003720923450082</v>
      </c>
      <c r="AQ101" s="232"/>
      <c r="AR101" s="236">
        <v>12.815897008648735</v>
      </c>
      <c r="AS101" s="232"/>
      <c r="AT101" s="236">
        <v>25.064085710529774</v>
      </c>
      <c r="AU101" s="232"/>
      <c r="AV101" s="267">
        <v>14.117700662372354</v>
      </c>
      <c r="AW101" s="263"/>
      <c r="AX101" s="267">
        <v>15.146372376031954</v>
      </c>
      <c r="AY101" s="263"/>
      <c r="AZ101" s="267">
        <v>13.324507506599851</v>
      </c>
      <c r="BA101" s="263"/>
      <c r="BB101" s="267">
        <v>16.125271380144177</v>
      </c>
      <c r="BC101" s="263"/>
      <c r="BD101" s="267">
        <v>15.250014428411665</v>
      </c>
      <c r="BE101" s="263"/>
      <c r="BF101" s="267">
        <v>13.853128980106437</v>
      </c>
      <c r="BG101" s="263"/>
      <c r="BH101" s="267">
        <v>14.412504868330387</v>
      </c>
      <c r="BI101" s="263"/>
      <c r="BJ101" s="267">
        <v>12.407586066822383</v>
      </c>
      <c r="BK101" s="263"/>
      <c r="BL101" s="193">
        <v>16.176044590504539</v>
      </c>
      <c r="BM101" s="189"/>
      <c r="BN101" s="193">
        <v>17.269990016427155</v>
      </c>
      <c r="BO101" s="189"/>
      <c r="BP101" s="193">
        <v>11.916516429542222</v>
      </c>
      <c r="BQ101" s="189"/>
      <c r="BR101" s="193">
        <v>13.11878620665154</v>
      </c>
      <c r="BS101" s="189"/>
      <c r="BT101" s="207">
        <v>16.794482718419719</v>
      </c>
      <c r="BU101" s="203"/>
      <c r="BV101" s="207">
        <v>17.766414132499243</v>
      </c>
      <c r="BW101" s="203"/>
      <c r="BX101" s="207">
        <v>11.423616817504348</v>
      </c>
      <c r="BY101" s="203"/>
      <c r="BZ101" s="207">
        <v>12.906738957316515</v>
      </c>
      <c r="CA101" s="203"/>
      <c r="CB101" s="207">
        <v>12.637182732468949</v>
      </c>
      <c r="CC101" s="203"/>
      <c r="CD101" s="207">
        <v>15.739795117599694</v>
      </c>
      <c r="CE101" s="203"/>
      <c r="CF101" s="207">
        <v>16.762451420715596</v>
      </c>
      <c r="CG101" s="203"/>
      <c r="CH101" s="207">
        <v>15.579210690787242</v>
      </c>
      <c r="CI101" s="203"/>
      <c r="CJ101" s="221">
        <v>11.175450818166263</v>
      </c>
      <c r="CK101" s="217"/>
      <c r="CL101" s="221">
        <v>14.900038707453588</v>
      </c>
      <c r="CM101" s="217"/>
      <c r="CN101" s="221">
        <v>16.333104279093359</v>
      </c>
      <c r="CO101" s="217"/>
      <c r="CP101" s="221">
        <v>15.336863483602997</v>
      </c>
      <c r="CQ101" s="217"/>
      <c r="CR101" s="251">
        <v>13.166451667303955</v>
      </c>
      <c r="CS101" s="247"/>
      <c r="CT101" s="251">
        <v>17.345182925057046</v>
      </c>
      <c r="CU101" s="247"/>
      <c r="CV101" s="251">
        <v>14.137759890136437</v>
      </c>
      <c r="CW101" s="247"/>
      <c r="CX101" s="251">
        <v>14.179291981455902</v>
      </c>
      <c r="CY101" s="247"/>
      <c r="CZ101" s="236">
        <v>13.497755149098467</v>
      </c>
      <c r="DA101" s="232"/>
      <c r="DB101" s="236">
        <v>14.499174410330182</v>
      </c>
      <c r="DC101" s="232"/>
      <c r="DD101" s="236">
        <v>17.062383612662941</v>
      </c>
      <c r="DE101" s="232"/>
      <c r="DF101" s="236">
        <v>14.962266163424095</v>
      </c>
      <c r="DG101" s="232"/>
      <c r="DH101" s="236">
        <v>16.98428619190906</v>
      </c>
      <c r="DI101" s="232"/>
      <c r="DJ101" s="236">
        <v>19.68871437413123</v>
      </c>
      <c r="DK101" s="232"/>
      <c r="DL101" s="267">
        <v>14.037795939197007</v>
      </c>
      <c r="DM101" s="263"/>
      <c r="DN101" s="267">
        <v>14.441586510329648</v>
      </c>
      <c r="DO101" s="263"/>
      <c r="DP101" s="267">
        <v>14.630577528258957</v>
      </c>
      <c r="DQ101" s="263"/>
      <c r="DR101" s="267">
        <v>19.500902768064897</v>
      </c>
      <c r="DS101" s="263"/>
      <c r="DT101" s="267">
        <v>14.511433795397132</v>
      </c>
      <c r="DU101" s="263"/>
      <c r="DV101" s="267">
        <v>13.553662938064802</v>
      </c>
      <c r="DW101" s="263"/>
      <c r="DX101" s="193">
        <v>13.712088041864005</v>
      </c>
      <c r="DY101" s="189"/>
      <c r="DZ101" s="193">
        <v>17.510073355550613</v>
      </c>
      <c r="EA101" s="189"/>
      <c r="EB101" s="193">
        <v>15.161374236545431</v>
      </c>
      <c r="EC101" s="189"/>
      <c r="ED101" s="193">
        <v>13.909769184873598</v>
      </c>
      <c r="EE101" s="189"/>
      <c r="EF101" s="193">
        <v>10.907658116328284</v>
      </c>
      <c r="EG101" s="189"/>
      <c r="EH101" s="193">
        <v>12.15311612103223</v>
      </c>
      <c r="EI101" s="189"/>
    </row>
    <row r="102" spans="1:139" outlineLevel="1" x14ac:dyDescent="0.2">
      <c r="A102"/>
      <c r="B102" s="13" t="s">
        <v>126</v>
      </c>
      <c r="C102" s="12">
        <v>23.5082564709713</v>
      </c>
      <c r="D102" s="193">
        <v>23.790795307249656</v>
      </c>
      <c r="E102" s="189"/>
      <c r="F102" s="193">
        <v>23.230692387057616</v>
      </c>
      <c r="G102" s="189"/>
      <c r="H102" s="207">
        <v>22.504988009459968</v>
      </c>
      <c r="I102" s="203"/>
      <c r="J102" s="207">
        <v>22.282945541542905</v>
      </c>
      <c r="K102" s="203"/>
      <c r="L102" s="207">
        <v>25.918152290141514</v>
      </c>
      <c r="M102" s="203"/>
      <c r="N102" s="207">
        <v>24.979841317389742</v>
      </c>
      <c r="O102" s="203"/>
      <c r="P102" s="221">
        <v>22.717368846146623</v>
      </c>
      <c r="Q102" s="217"/>
      <c r="R102" s="221">
        <v>21.693232971568072</v>
      </c>
      <c r="S102" s="217"/>
      <c r="T102" s="221">
        <v>26.247751366151128</v>
      </c>
      <c r="U102" s="217"/>
      <c r="V102" s="221">
        <v>27.623788318846174</v>
      </c>
      <c r="W102" s="217"/>
      <c r="X102" s="251">
        <v>26.427936951482987</v>
      </c>
      <c r="Y102" s="247"/>
      <c r="Z102" s="251">
        <v>23.318847259398623</v>
      </c>
      <c r="AA102" s="247"/>
      <c r="AB102" s="251">
        <v>20.622307942764969</v>
      </c>
      <c r="AC102" s="247"/>
      <c r="AD102" s="251">
        <v>19.604166470079949</v>
      </c>
      <c r="AE102" s="247"/>
      <c r="AF102" s="251">
        <v>28.335207684623601</v>
      </c>
      <c r="AG102" s="247"/>
      <c r="AH102" s="251">
        <v>26.285693596819339</v>
      </c>
      <c r="AI102" s="247"/>
      <c r="AJ102" s="236">
        <v>31.108725819455074</v>
      </c>
      <c r="AK102" s="232"/>
      <c r="AL102" s="236">
        <v>24.839223210896975</v>
      </c>
      <c r="AM102" s="232"/>
      <c r="AN102" s="236">
        <v>19.884761093021943</v>
      </c>
      <c r="AO102" s="232"/>
      <c r="AP102" s="236">
        <v>23.045664553039565</v>
      </c>
      <c r="AQ102" s="232"/>
      <c r="AR102" s="236">
        <v>28.076896373879237</v>
      </c>
      <c r="AS102" s="232"/>
      <c r="AT102" s="236">
        <v>29.508457122825465</v>
      </c>
      <c r="AU102" s="232"/>
      <c r="AV102" s="267">
        <v>26.649808350561848</v>
      </c>
      <c r="AW102" s="263"/>
      <c r="AX102" s="267">
        <v>27.408731630384878</v>
      </c>
      <c r="AY102" s="263"/>
      <c r="AZ102" s="267">
        <v>25.161115950321079</v>
      </c>
      <c r="BA102" s="263"/>
      <c r="BB102" s="267">
        <v>24.393947788335701</v>
      </c>
      <c r="BC102" s="263"/>
      <c r="BD102" s="267">
        <v>16.759716310203228</v>
      </c>
      <c r="BE102" s="263"/>
      <c r="BF102" s="267">
        <v>20.022964008044909</v>
      </c>
      <c r="BG102" s="263"/>
      <c r="BH102" s="267">
        <v>22.236660774738606</v>
      </c>
      <c r="BI102" s="263"/>
      <c r="BJ102" s="267">
        <v>15.887453031380115</v>
      </c>
      <c r="BK102" s="263"/>
      <c r="BL102" s="193">
        <v>21.297930725466159</v>
      </c>
      <c r="BM102" s="189"/>
      <c r="BN102" s="193">
        <v>19.679317949494909</v>
      </c>
      <c r="BO102" s="189"/>
      <c r="BP102" s="193">
        <v>26.111699364553427</v>
      </c>
      <c r="BQ102" s="189"/>
      <c r="BR102" s="193">
        <v>26.346087294686892</v>
      </c>
      <c r="BS102" s="189"/>
      <c r="BT102" s="207">
        <v>31.14810388985839</v>
      </c>
      <c r="BU102" s="203"/>
      <c r="BV102" s="207">
        <v>21.847706363719809</v>
      </c>
      <c r="BW102" s="203"/>
      <c r="BX102" s="207">
        <v>21.580130984156845</v>
      </c>
      <c r="BY102" s="203"/>
      <c r="BZ102" s="207">
        <v>22.301193776122812</v>
      </c>
      <c r="CA102" s="203"/>
      <c r="CB102" s="207">
        <v>20.719142507159347</v>
      </c>
      <c r="CC102" s="203"/>
      <c r="CD102" s="207">
        <v>28.566589700107819</v>
      </c>
      <c r="CE102" s="203"/>
      <c r="CF102" s="207">
        <v>24.00544173998059</v>
      </c>
      <c r="CG102" s="203"/>
      <c r="CH102" s="207">
        <v>20.251401441710961</v>
      </c>
      <c r="CI102" s="203"/>
      <c r="CJ102" s="221">
        <v>22.288549606421366</v>
      </c>
      <c r="CK102" s="217"/>
      <c r="CL102" s="221">
        <v>22.793216024320714</v>
      </c>
      <c r="CM102" s="217"/>
      <c r="CN102" s="221">
        <v>25.212471607654518</v>
      </c>
      <c r="CO102" s="217"/>
      <c r="CP102" s="221">
        <v>24.007222192200061</v>
      </c>
      <c r="CQ102" s="217"/>
      <c r="CR102" s="251">
        <v>25.389736361789179</v>
      </c>
      <c r="CS102" s="247"/>
      <c r="CT102" s="251">
        <v>23.534010435913206</v>
      </c>
      <c r="CU102" s="247"/>
      <c r="CV102" s="251">
        <v>23.17078289013595</v>
      </c>
      <c r="CW102" s="247"/>
      <c r="CX102" s="251">
        <v>22.938742762797851</v>
      </c>
      <c r="CY102" s="247"/>
      <c r="CZ102" s="236">
        <v>23.57908206872423</v>
      </c>
      <c r="DA102" s="232"/>
      <c r="DB102" s="236">
        <v>24.331282257709585</v>
      </c>
      <c r="DC102" s="232"/>
      <c r="DD102" s="236">
        <v>27.682446536913559</v>
      </c>
      <c r="DE102" s="232"/>
      <c r="DF102" s="236">
        <v>21.938862389853313</v>
      </c>
      <c r="DG102" s="232"/>
      <c r="DH102" s="236">
        <v>31.171542797406307</v>
      </c>
      <c r="DI102" s="232"/>
      <c r="DJ102" s="236">
        <v>20.116275530392965</v>
      </c>
      <c r="DK102" s="232"/>
      <c r="DL102" s="267">
        <v>23.405184933433421</v>
      </c>
      <c r="DM102" s="263"/>
      <c r="DN102" s="267">
        <v>20.745376567303754</v>
      </c>
      <c r="DO102" s="263"/>
      <c r="DP102" s="267">
        <v>19.09104352541036</v>
      </c>
      <c r="DQ102" s="263"/>
      <c r="DR102" s="267">
        <v>20.241712970615534</v>
      </c>
      <c r="DS102" s="263"/>
      <c r="DT102" s="267">
        <v>23.94186292024121</v>
      </c>
      <c r="DU102" s="263"/>
      <c r="DV102" s="267">
        <v>29.862622603041657</v>
      </c>
      <c r="DW102" s="263"/>
      <c r="DX102" s="193">
        <v>22.97150203938844</v>
      </c>
      <c r="DY102" s="189"/>
      <c r="DZ102" s="193">
        <v>22.767186256270854</v>
      </c>
      <c r="EA102" s="189"/>
      <c r="EB102" s="193">
        <v>24.301312290848337</v>
      </c>
      <c r="EC102" s="189"/>
      <c r="ED102" s="193">
        <v>22.07915200833305</v>
      </c>
      <c r="EE102" s="189"/>
      <c r="EF102" s="193">
        <v>23.729820719346037</v>
      </c>
      <c r="EG102" s="189"/>
      <c r="EH102" s="193">
        <v>27.128755406711647</v>
      </c>
      <c r="EI102" s="189"/>
    </row>
    <row r="103" spans="1:139" outlineLevel="1" x14ac:dyDescent="0.2">
      <c r="A103"/>
      <c r="B103" s="13" t="s">
        <v>127</v>
      </c>
      <c r="C103" s="12">
        <v>17.085435488036577</v>
      </c>
      <c r="D103" s="193">
        <v>18.017892968304945</v>
      </c>
      <c r="E103" s="189"/>
      <c r="F103" s="193">
        <v>16.169396087194112</v>
      </c>
      <c r="G103" s="189"/>
      <c r="H103" s="207">
        <v>18.571483763787739</v>
      </c>
      <c r="I103" s="203"/>
      <c r="J103" s="207">
        <v>14.780204134216802</v>
      </c>
      <c r="K103" s="203"/>
      <c r="L103" s="207">
        <v>17.101981815475565</v>
      </c>
      <c r="M103" s="203"/>
      <c r="N103" s="207">
        <v>18.7332702167425</v>
      </c>
      <c r="O103" s="203"/>
      <c r="P103" s="221">
        <v>17.70130919063093</v>
      </c>
      <c r="Q103" s="217"/>
      <c r="R103" s="221">
        <v>15.57825338958191</v>
      </c>
      <c r="S103" s="217"/>
      <c r="T103" s="221">
        <v>18.742518696188352</v>
      </c>
      <c r="U103" s="217"/>
      <c r="V103" s="221">
        <v>17.858511620146107</v>
      </c>
      <c r="W103" s="217"/>
      <c r="X103" s="251">
        <v>13.291634089132133</v>
      </c>
      <c r="Y103" s="247"/>
      <c r="Z103" s="251">
        <v>21.272574212655954</v>
      </c>
      <c r="AA103" s="247"/>
      <c r="AB103" s="251">
        <v>16.226037117768261</v>
      </c>
      <c r="AC103" s="247"/>
      <c r="AD103" s="251">
        <v>20.149441850997604</v>
      </c>
      <c r="AE103" s="247"/>
      <c r="AF103" s="251">
        <v>14.281256703785322</v>
      </c>
      <c r="AG103" s="247"/>
      <c r="AH103" s="251">
        <v>18.7096788792567</v>
      </c>
      <c r="AI103" s="247"/>
      <c r="AJ103" s="236">
        <v>12.945795032900786</v>
      </c>
      <c r="AK103" s="232"/>
      <c r="AL103" s="236">
        <v>23.827295857405925</v>
      </c>
      <c r="AM103" s="232"/>
      <c r="AN103" s="236">
        <v>17.553095667651636</v>
      </c>
      <c r="AO103" s="232"/>
      <c r="AP103" s="236">
        <v>17.690305426812525</v>
      </c>
      <c r="AQ103" s="232"/>
      <c r="AR103" s="236">
        <v>13.314290248353567</v>
      </c>
      <c r="AS103" s="232"/>
      <c r="AT103" s="236">
        <v>20.33927084702686</v>
      </c>
      <c r="AU103" s="232"/>
      <c r="AV103" s="267">
        <v>21.135686663135534</v>
      </c>
      <c r="AW103" s="263"/>
      <c r="AX103" s="267">
        <v>24.510085529377061</v>
      </c>
      <c r="AY103" s="263"/>
      <c r="AZ103" s="267">
        <v>17.405504356590168</v>
      </c>
      <c r="BA103" s="263"/>
      <c r="BB103" s="267">
        <v>12.336737464379473</v>
      </c>
      <c r="BC103" s="263"/>
      <c r="BD103" s="267">
        <v>14.827833658380946</v>
      </c>
      <c r="BE103" s="263"/>
      <c r="BF103" s="267">
        <v>21.016784524274094</v>
      </c>
      <c r="BG103" s="263"/>
      <c r="BH103" s="267">
        <v>18.264228007629548</v>
      </c>
      <c r="BI103" s="263"/>
      <c r="BJ103" s="267">
        <v>10.892784604448055</v>
      </c>
      <c r="BK103" s="263"/>
      <c r="BL103" s="193">
        <v>18.002873952769569</v>
      </c>
      <c r="BM103" s="189"/>
      <c r="BN103" s="193">
        <v>15.811216820711159</v>
      </c>
      <c r="BO103" s="189"/>
      <c r="BP103" s="193">
        <v>18.031875955727322</v>
      </c>
      <c r="BQ103" s="189"/>
      <c r="BR103" s="193">
        <v>16.483603975558932</v>
      </c>
      <c r="BS103" s="189"/>
      <c r="BT103" s="207">
        <v>18.880586411544613</v>
      </c>
      <c r="BU103" s="203"/>
      <c r="BV103" s="207">
        <v>18.963097768143982</v>
      </c>
      <c r="BW103" s="203"/>
      <c r="BX103" s="207">
        <v>20.123985363927787</v>
      </c>
      <c r="BY103" s="203"/>
      <c r="BZ103" s="207">
        <v>14.072490429535577</v>
      </c>
      <c r="CA103" s="203"/>
      <c r="CB103" s="207">
        <v>15.304880987798779</v>
      </c>
      <c r="CC103" s="203"/>
      <c r="CD103" s="207">
        <v>13.784338388111477</v>
      </c>
      <c r="CE103" s="203"/>
      <c r="CF103" s="207">
        <v>16.48240824231512</v>
      </c>
      <c r="CG103" s="203"/>
      <c r="CH103" s="207">
        <v>19.869941100735382</v>
      </c>
      <c r="CI103" s="203"/>
      <c r="CJ103" s="221">
        <v>18.849426899482218</v>
      </c>
      <c r="CK103" s="217"/>
      <c r="CL103" s="221">
        <v>15.27743637992072</v>
      </c>
      <c r="CM103" s="217"/>
      <c r="CN103" s="221">
        <v>16.092889809999679</v>
      </c>
      <c r="CO103" s="217"/>
      <c r="CP103" s="221">
        <v>16.26275837396016</v>
      </c>
      <c r="CQ103" s="217"/>
      <c r="CR103" s="251">
        <v>24.052368106235257</v>
      </c>
      <c r="CS103" s="247"/>
      <c r="CT103" s="251">
        <v>16.7063584096176</v>
      </c>
      <c r="CU103" s="247"/>
      <c r="CV103" s="251">
        <v>15.538310476812356</v>
      </c>
      <c r="CW103" s="247"/>
      <c r="CX103" s="251">
        <v>15.768451209730797</v>
      </c>
      <c r="CY103" s="247"/>
      <c r="CZ103" s="236">
        <v>17.958620829212936</v>
      </c>
      <c r="DA103" s="232"/>
      <c r="DB103" s="236">
        <v>16.087253874633998</v>
      </c>
      <c r="DC103" s="232"/>
      <c r="DD103" s="236">
        <v>14.651100798942753</v>
      </c>
      <c r="DE103" s="232"/>
      <c r="DF103" s="236">
        <v>15.525513612437102</v>
      </c>
      <c r="DG103" s="232"/>
      <c r="DH103" s="236">
        <v>20.518550958038436</v>
      </c>
      <c r="DI103" s="232"/>
      <c r="DJ103" s="236">
        <v>20.116782840734992</v>
      </c>
      <c r="DK103" s="232"/>
      <c r="DL103" s="267">
        <v>15.416489763996839</v>
      </c>
      <c r="DM103" s="263"/>
      <c r="DN103" s="267">
        <v>15.946774366239968</v>
      </c>
      <c r="DO103" s="263"/>
      <c r="DP103" s="267">
        <v>20.613840511467458</v>
      </c>
      <c r="DQ103" s="263"/>
      <c r="DR103" s="267">
        <v>11.646900072475745</v>
      </c>
      <c r="DS103" s="263"/>
      <c r="DT103" s="267">
        <v>22.039275173292641</v>
      </c>
      <c r="DU103" s="263"/>
      <c r="DV103" s="267">
        <v>20.014429964734408</v>
      </c>
      <c r="DW103" s="263"/>
      <c r="DX103" s="193">
        <v>19.267179382624033</v>
      </c>
      <c r="DY103" s="189"/>
      <c r="DZ103" s="193">
        <v>14.737267877353572</v>
      </c>
      <c r="EA103" s="189"/>
      <c r="EB103" s="193">
        <v>16.23701373643668</v>
      </c>
      <c r="EC103" s="189"/>
      <c r="ED103" s="193">
        <v>16.473858445894038</v>
      </c>
      <c r="EE103" s="189"/>
      <c r="EF103" s="193">
        <v>21.071748662749116</v>
      </c>
      <c r="EG103" s="189"/>
      <c r="EH103" s="193">
        <v>18.763998867397653</v>
      </c>
      <c r="EI103" s="189"/>
    </row>
    <row r="104" spans="1:139" outlineLevel="1" x14ac:dyDescent="0.2">
      <c r="A104"/>
      <c r="B104" s="13" t="s">
        <v>128</v>
      </c>
      <c r="C104" s="12">
        <v>25.818193131441245</v>
      </c>
      <c r="D104" s="193">
        <v>25.571612465565305</v>
      </c>
      <c r="E104" s="189"/>
      <c r="F104" s="193">
        <v>26.060432172049641</v>
      </c>
      <c r="G104" s="189"/>
      <c r="H104" s="207">
        <v>22.820191572678677</v>
      </c>
      <c r="I104" s="203"/>
      <c r="J104" s="207">
        <v>26.938791779920418</v>
      </c>
      <c r="K104" s="203"/>
      <c r="L104" s="207">
        <v>30.123814385260985</v>
      </c>
      <c r="M104" s="203"/>
      <c r="N104" s="207">
        <v>24.439343401535471</v>
      </c>
      <c r="O104" s="203"/>
      <c r="P104" s="221">
        <v>23.260006267664881</v>
      </c>
      <c r="Q104" s="217"/>
      <c r="R104" s="221">
        <v>25.783587758224805</v>
      </c>
      <c r="S104" s="217"/>
      <c r="T104" s="221">
        <v>30.862626856890717</v>
      </c>
      <c r="U104" s="217"/>
      <c r="V104" s="221">
        <v>26.851480089060846</v>
      </c>
      <c r="W104" s="217"/>
      <c r="X104" s="251">
        <v>21.535292457587516</v>
      </c>
      <c r="Y104" s="247"/>
      <c r="Z104" s="251">
        <v>34.593994943201892</v>
      </c>
      <c r="AA104" s="247"/>
      <c r="AB104" s="251">
        <v>26.616725613347882</v>
      </c>
      <c r="AC104" s="247"/>
      <c r="AD104" s="251">
        <v>22.414929626449293</v>
      </c>
      <c r="AE104" s="247"/>
      <c r="AF104" s="251">
        <v>27.868895086165985</v>
      </c>
      <c r="AG104" s="247"/>
      <c r="AH104" s="251">
        <v>25.065339732667152</v>
      </c>
      <c r="AI104" s="247"/>
      <c r="AJ104" s="236">
        <v>21.694559387214035</v>
      </c>
      <c r="AK104" s="232"/>
      <c r="AL104" s="236">
        <v>34.349829207607641</v>
      </c>
      <c r="AM104" s="232"/>
      <c r="AN104" s="236">
        <v>28.793594373028824</v>
      </c>
      <c r="AO104" s="232"/>
      <c r="AP104" s="236">
        <v>28.146076017664058</v>
      </c>
      <c r="AQ104" s="232"/>
      <c r="AR104" s="236">
        <v>24.83510870427676</v>
      </c>
      <c r="AS104" s="232"/>
      <c r="AT104" s="236">
        <v>25.574306559747601</v>
      </c>
      <c r="AU104" s="232"/>
      <c r="AV104" s="267">
        <v>18.681335110290977</v>
      </c>
      <c r="AW104" s="263"/>
      <c r="AX104" s="267">
        <v>27.928705647168673</v>
      </c>
      <c r="AY104" s="263"/>
      <c r="AZ104" s="267">
        <v>24.950285017694405</v>
      </c>
      <c r="BA104" s="263"/>
      <c r="BB104" s="267">
        <v>23.179176449657756</v>
      </c>
      <c r="BC104" s="263"/>
      <c r="BD104" s="267">
        <v>25.987039475045382</v>
      </c>
      <c r="BE104" s="263"/>
      <c r="BF104" s="267">
        <v>23.538429870792612</v>
      </c>
      <c r="BG104" s="263"/>
      <c r="BH104" s="267">
        <v>39.263084574133437</v>
      </c>
      <c r="BI104" s="263"/>
      <c r="BJ104" s="267">
        <v>36.612166141972175</v>
      </c>
      <c r="BK104" s="263"/>
      <c r="BL104" s="193">
        <v>19.100441367225237</v>
      </c>
      <c r="BM104" s="189"/>
      <c r="BN104" s="193">
        <v>19.2250129540564</v>
      </c>
      <c r="BO104" s="189"/>
      <c r="BP104" s="193">
        <v>31.596395106144687</v>
      </c>
      <c r="BQ104" s="189"/>
      <c r="BR104" s="193">
        <v>32.056710682704832</v>
      </c>
      <c r="BS104" s="189"/>
      <c r="BT104" s="207">
        <v>22.745306631011758</v>
      </c>
      <c r="BU104" s="203"/>
      <c r="BV104" s="207">
        <v>24.88932507713707</v>
      </c>
      <c r="BW104" s="203"/>
      <c r="BX104" s="207">
        <v>26.210054460242887</v>
      </c>
      <c r="BY104" s="203"/>
      <c r="BZ104" s="207">
        <v>26.841834606466389</v>
      </c>
      <c r="CA104" s="203"/>
      <c r="CB104" s="207">
        <v>24.098703422691518</v>
      </c>
      <c r="CC104" s="203"/>
      <c r="CD104" s="207">
        <v>26.30226906564836</v>
      </c>
      <c r="CE104" s="203"/>
      <c r="CF104" s="207">
        <v>28.09721161000099</v>
      </c>
      <c r="CG104" s="203"/>
      <c r="CH104" s="207">
        <v>25.506438689768736</v>
      </c>
      <c r="CI104" s="203"/>
      <c r="CJ104" s="221">
        <v>29.710074195204164</v>
      </c>
      <c r="CK104" s="217"/>
      <c r="CL104" s="221">
        <v>26.630092361069909</v>
      </c>
      <c r="CM104" s="217"/>
      <c r="CN104" s="221">
        <v>21.018198284811572</v>
      </c>
      <c r="CO104" s="217"/>
      <c r="CP104" s="221">
        <v>24.997212499221895</v>
      </c>
      <c r="CQ104" s="217"/>
      <c r="CR104" s="251">
        <v>29.850558363982699</v>
      </c>
      <c r="CS104" s="247"/>
      <c r="CT104" s="251">
        <v>26.613061559075845</v>
      </c>
      <c r="CU104" s="247"/>
      <c r="CV104" s="251">
        <v>23.838275290409829</v>
      </c>
      <c r="CW104" s="247"/>
      <c r="CX104" s="251">
        <v>25.675245257943843</v>
      </c>
      <c r="CY104" s="247"/>
      <c r="CZ104" s="236">
        <v>25.910281582211176</v>
      </c>
      <c r="DA104" s="232"/>
      <c r="DB104" s="236">
        <v>27.641750952308659</v>
      </c>
      <c r="DC104" s="232"/>
      <c r="DD104" s="236">
        <v>24.463210338199076</v>
      </c>
      <c r="DE104" s="232"/>
      <c r="DF104" s="236">
        <v>25.096790612293017</v>
      </c>
      <c r="DG104" s="232"/>
      <c r="DH104" s="236">
        <v>22.477856103521834</v>
      </c>
      <c r="DI104" s="232"/>
      <c r="DJ104" s="236">
        <v>24.319950486510621</v>
      </c>
      <c r="DK104" s="232"/>
      <c r="DL104" s="267">
        <v>22.109816236506429</v>
      </c>
      <c r="DM104" s="263"/>
      <c r="DN104" s="267">
        <v>23.512588763042562</v>
      </c>
      <c r="DO104" s="263"/>
      <c r="DP104" s="267">
        <v>22.896003749700569</v>
      </c>
      <c r="DQ104" s="263"/>
      <c r="DR104" s="267">
        <v>31.009606215113099</v>
      </c>
      <c r="DS104" s="263"/>
      <c r="DT104" s="267">
        <v>31.094892041191912</v>
      </c>
      <c r="DU104" s="263"/>
      <c r="DV104" s="267">
        <v>25.787362932554554</v>
      </c>
      <c r="DW104" s="263"/>
      <c r="DX104" s="193">
        <v>19.057112903351594</v>
      </c>
      <c r="DY104" s="189"/>
      <c r="DZ104" s="193">
        <v>22.109167831754966</v>
      </c>
      <c r="EA104" s="189"/>
      <c r="EB104" s="193">
        <v>28.263965010906613</v>
      </c>
      <c r="EC104" s="189"/>
      <c r="ED104" s="193">
        <v>27.251549975356042</v>
      </c>
      <c r="EE104" s="189"/>
      <c r="EF104" s="193">
        <v>29.124374908382205</v>
      </c>
      <c r="EG104" s="189"/>
      <c r="EH104" s="193">
        <v>32.360011326023496</v>
      </c>
      <c r="EI104" s="189"/>
    </row>
    <row r="105" spans="1:139" outlineLevel="1" x14ac:dyDescent="0.2">
      <c r="A105"/>
      <c r="B105" s="13" t="s">
        <v>129</v>
      </c>
      <c r="C105" s="12">
        <v>6.1064983749587665</v>
      </c>
      <c r="D105" s="193">
        <v>7.2525105333696596</v>
      </c>
      <c r="E105" s="189"/>
      <c r="F105" s="193">
        <v>4.9806644220296157</v>
      </c>
      <c r="G105" s="189"/>
      <c r="H105" s="207">
        <v>7.5215043229415315</v>
      </c>
      <c r="I105" s="203"/>
      <c r="J105" s="207">
        <v>6.4704768212024053</v>
      </c>
      <c r="K105" s="203"/>
      <c r="L105" s="207">
        <v>6.8074626497684703</v>
      </c>
      <c r="M105" s="203" t="s">
        <v>182</v>
      </c>
      <c r="N105" s="207">
        <v>2.2310865397699433</v>
      </c>
      <c r="O105" s="203"/>
      <c r="P105" s="221">
        <v>7.5536730592235015</v>
      </c>
      <c r="Q105" s="217"/>
      <c r="R105" s="221">
        <v>5.8756478858653329</v>
      </c>
      <c r="S105" s="217"/>
      <c r="T105" s="221">
        <v>6.5631823684478485</v>
      </c>
      <c r="U105" s="217"/>
      <c r="V105" s="221">
        <v>2.4233623076562085</v>
      </c>
      <c r="W105" s="217"/>
      <c r="X105" s="251">
        <v>9.4100883178888814</v>
      </c>
      <c r="Y105" s="247"/>
      <c r="Z105" s="251">
        <v>4.7706630104959817</v>
      </c>
      <c r="AA105" s="247"/>
      <c r="AB105" s="251">
        <v>3.3459180148182761</v>
      </c>
      <c r="AC105" s="247"/>
      <c r="AD105" s="251">
        <v>6.2549624103733077</v>
      </c>
      <c r="AE105" s="247"/>
      <c r="AF105" s="251">
        <v>0</v>
      </c>
      <c r="AG105" s="247"/>
      <c r="AH105" s="251">
        <v>0</v>
      </c>
      <c r="AI105" s="247"/>
      <c r="AJ105" s="236">
        <v>9.5864103333768131</v>
      </c>
      <c r="AK105" s="232"/>
      <c r="AL105" s="236">
        <v>5.7654732284682106</v>
      </c>
      <c r="AM105" s="232"/>
      <c r="AN105" s="236">
        <v>3.6195664156290417</v>
      </c>
      <c r="AO105" s="232"/>
      <c r="AP105" s="236">
        <v>9.0361811805364844</v>
      </c>
      <c r="AQ105" s="232"/>
      <c r="AR105" s="236">
        <v>0</v>
      </c>
      <c r="AS105" s="232"/>
      <c r="AT105" s="236">
        <v>0</v>
      </c>
      <c r="AU105" s="232"/>
      <c r="AV105" s="267">
        <v>3.1642803036775051</v>
      </c>
      <c r="AW105" s="263"/>
      <c r="AX105" s="267">
        <v>3.8936886953653715</v>
      </c>
      <c r="AY105" s="263"/>
      <c r="AZ105" s="267">
        <v>9.8910229742887381</v>
      </c>
      <c r="BA105" s="263" t="s">
        <v>174</v>
      </c>
      <c r="BB105" s="267">
        <v>5.1733684242040292</v>
      </c>
      <c r="BC105" s="263"/>
      <c r="BD105" s="267">
        <v>9.5621712091662339</v>
      </c>
      <c r="BE105" s="263"/>
      <c r="BF105" s="267">
        <v>5.2867606382750623</v>
      </c>
      <c r="BG105" s="263"/>
      <c r="BH105" s="267">
        <v>2.9138829803169659</v>
      </c>
      <c r="BI105" s="263"/>
      <c r="BJ105" s="267">
        <v>5.6895501167868385</v>
      </c>
      <c r="BK105" s="263"/>
      <c r="BL105" s="193">
        <v>15.042374392995203</v>
      </c>
      <c r="BM105" s="189"/>
      <c r="BN105" s="193">
        <v>10.658340875553192</v>
      </c>
      <c r="BO105" s="189"/>
      <c r="BP105" s="193">
        <v>0</v>
      </c>
      <c r="BQ105" s="189"/>
      <c r="BR105" s="193">
        <v>0</v>
      </c>
      <c r="BS105" s="189"/>
      <c r="BT105" s="207">
        <v>6.3516684093368259</v>
      </c>
      <c r="BU105" s="203"/>
      <c r="BV105" s="207">
        <v>8.1750287719496448</v>
      </c>
      <c r="BW105" s="203"/>
      <c r="BX105" s="207">
        <v>5.9643222127141904</v>
      </c>
      <c r="BY105" s="203"/>
      <c r="BZ105" s="207">
        <v>4.119623637266681</v>
      </c>
      <c r="CA105" s="203"/>
      <c r="CB105" s="207">
        <v>6.845632341135623</v>
      </c>
      <c r="CC105" s="203"/>
      <c r="CD105" s="207">
        <v>3.6469446855479286</v>
      </c>
      <c r="CE105" s="203"/>
      <c r="CF105" s="207">
        <v>10.26755699419844</v>
      </c>
      <c r="CG105" s="203"/>
      <c r="CH105" s="207">
        <v>5.0361704861923169</v>
      </c>
      <c r="CI105" s="203"/>
      <c r="CJ105" s="221">
        <v>7.151295344864252</v>
      </c>
      <c r="CK105" s="217"/>
      <c r="CL105" s="221">
        <v>3.8164277823454458</v>
      </c>
      <c r="CM105" s="217"/>
      <c r="CN105" s="221">
        <v>7.8788350097190341</v>
      </c>
      <c r="CO105" s="217"/>
      <c r="CP105" s="221">
        <v>6.3855657395290866</v>
      </c>
      <c r="CQ105" s="217"/>
      <c r="CR105" s="251">
        <v>4.8356996926377702</v>
      </c>
      <c r="CS105" s="247"/>
      <c r="CT105" s="251">
        <v>5.2146942687891222</v>
      </c>
      <c r="CU105" s="247"/>
      <c r="CV105" s="251">
        <v>8.2737336189239414</v>
      </c>
      <c r="CW105" s="247"/>
      <c r="CX105" s="251">
        <v>4.8983150749064786</v>
      </c>
      <c r="CY105" s="247"/>
      <c r="CZ105" s="236">
        <v>7.9830796127279404</v>
      </c>
      <c r="DA105" s="232"/>
      <c r="DB105" s="236">
        <v>4.7021028181808742</v>
      </c>
      <c r="DC105" s="232"/>
      <c r="DD105" s="236">
        <v>8.6793040788129989</v>
      </c>
      <c r="DE105" s="232"/>
      <c r="DF105" s="236">
        <v>6.7828278764448413</v>
      </c>
      <c r="DG105" s="232"/>
      <c r="DH105" s="236">
        <v>5.3241414383997068</v>
      </c>
      <c r="DI105" s="232"/>
      <c r="DJ105" s="236">
        <v>5.2764334053714022</v>
      </c>
      <c r="DK105" s="232"/>
      <c r="DL105" s="267">
        <v>8.6898826495626054</v>
      </c>
      <c r="DM105" s="263"/>
      <c r="DN105" s="267">
        <v>5.8261067835008786</v>
      </c>
      <c r="DO105" s="263"/>
      <c r="DP105" s="267">
        <v>4.9303892649255117</v>
      </c>
      <c r="DQ105" s="263"/>
      <c r="DR105" s="267">
        <v>4.5064497056467507</v>
      </c>
      <c r="DS105" s="263"/>
      <c r="DT105" s="267">
        <v>6.4650996329744936</v>
      </c>
      <c r="DU105" s="263"/>
      <c r="DV105" s="267">
        <v>5.308608386599075</v>
      </c>
      <c r="DW105" s="263"/>
      <c r="DX105" s="193">
        <v>8.4564152442196914</v>
      </c>
      <c r="DY105" s="189"/>
      <c r="DZ105" s="193">
        <v>6.5484871438315633</v>
      </c>
      <c r="EA105" s="189"/>
      <c r="EB105" s="193">
        <v>7.0698632751414161</v>
      </c>
      <c r="EC105" s="189"/>
      <c r="ED105" s="193">
        <v>4.1032292566703319</v>
      </c>
      <c r="EE105" s="189"/>
      <c r="EF105" s="193">
        <v>5.6657920549047613</v>
      </c>
      <c r="EG105" s="189"/>
      <c r="EH105" s="193">
        <v>3.4714262002167566</v>
      </c>
      <c r="EI105" s="189"/>
    </row>
    <row r="106" spans="1:139" outlineLevel="1" x14ac:dyDescent="0.2">
      <c r="A106"/>
      <c r="B106"/>
      <c r="E106" s="187"/>
      <c r="G106" s="187"/>
      <c r="I106" s="201"/>
      <c r="K106" s="201"/>
      <c r="M106" s="201"/>
      <c r="O106" s="201"/>
      <c r="Q106" s="215"/>
      <c r="S106" s="215"/>
      <c r="U106" s="215"/>
      <c r="W106" s="215"/>
      <c r="Y106" s="245"/>
      <c r="AA106" s="245"/>
      <c r="AC106" s="245"/>
      <c r="AE106" s="245"/>
      <c r="AG106" s="245"/>
      <c r="AI106" s="245"/>
      <c r="AK106" s="230"/>
      <c r="AM106" s="230"/>
      <c r="AO106" s="230"/>
      <c r="AQ106" s="230"/>
      <c r="AS106" s="230"/>
      <c r="AU106" s="230"/>
      <c r="AW106" s="261"/>
      <c r="AY106" s="261"/>
      <c r="BA106" s="261"/>
      <c r="BC106" s="261"/>
      <c r="BE106" s="261"/>
      <c r="BG106" s="261"/>
      <c r="BI106" s="261"/>
      <c r="BK106" s="261"/>
      <c r="BM106" s="187"/>
      <c r="BO106" s="187"/>
      <c r="BQ106" s="187"/>
      <c r="BS106" s="187"/>
      <c r="BU106" s="201"/>
      <c r="BW106" s="201"/>
      <c r="BY106" s="201"/>
      <c r="CA106" s="201"/>
      <c r="CC106" s="201"/>
      <c r="CE106" s="201"/>
      <c r="CG106" s="201"/>
      <c r="CI106" s="201"/>
      <c r="CK106" s="215"/>
      <c r="CM106" s="215"/>
      <c r="CO106" s="215"/>
      <c r="CQ106" s="215"/>
      <c r="CS106" s="245"/>
      <c r="CU106" s="245"/>
      <c r="CW106" s="245"/>
      <c r="CY106" s="245"/>
      <c r="DA106" s="230"/>
      <c r="DC106" s="230"/>
      <c r="DE106" s="230"/>
      <c r="DG106" s="230"/>
      <c r="DI106" s="230"/>
      <c r="DK106" s="230"/>
      <c r="DM106" s="261"/>
      <c r="DO106" s="261"/>
      <c r="DQ106" s="261"/>
      <c r="DS106" s="261"/>
      <c r="DU106" s="261"/>
      <c r="DW106" s="261"/>
      <c r="DY106" s="187"/>
      <c r="EA106" s="187"/>
      <c r="EC106" s="187"/>
      <c r="EE106" s="187"/>
      <c r="EG106" s="187"/>
      <c r="EI106" s="187"/>
    </row>
    <row r="107" spans="1:139" x14ac:dyDescent="0.2">
      <c r="A107"/>
      <c r="B107"/>
      <c r="E107" s="187"/>
      <c r="G107" s="187"/>
      <c r="I107" s="201"/>
      <c r="K107" s="201"/>
      <c r="M107" s="201"/>
      <c r="O107" s="201"/>
      <c r="Q107" s="215"/>
      <c r="S107" s="215"/>
      <c r="U107" s="215"/>
      <c r="W107" s="215"/>
      <c r="Y107" s="245"/>
      <c r="AA107" s="245"/>
      <c r="AC107" s="245"/>
      <c r="AE107" s="245"/>
      <c r="AG107" s="245"/>
      <c r="AI107" s="245"/>
      <c r="AK107" s="230"/>
      <c r="AM107" s="230"/>
      <c r="AO107" s="230"/>
      <c r="AQ107" s="230"/>
      <c r="AS107" s="230"/>
      <c r="AU107" s="230"/>
      <c r="AW107" s="261"/>
      <c r="AY107" s="261"/>
      <c r="BA107" s="261"/>
      <c r="BC107" s="261"/>
      <c r="BE107" s="261"/>
      <c r="BG107" s="261"/>
      <c r="BI107" s="261"/>
      <c r="BK107" s="261"/>
      <c r="BM107" s="187"/>
      <c r="BO107" s="187"/>
      <c r="BQ107" s="187"/>
      <c r="BS107" s="187"/>
      <c r="BU107" s="201"/>
      <c r="BW107" s="201"/>
      <c r="BY107" s="201"/>
      <c r="CA107" s="201"/>
      <c r="CC107" s="201"/>
      <c r="CE107" s="201"/>
      <c r="CG107" s="201"/>
      <c r="CI107" s="201"/>
      <c r="CK107" s="215"/>
      <c r="CM107" s="215"/>
      <c r="CO107" s="215"/>
      <c r="CQ107" s="215"/>
      <c r="CS107" s="245"/>
      <c r="CU107" s="245"/>
      <c r="CW107" s="245"/>
      <c r="CY107" s="245"/>
      <c r="DA107" s="230"/>
      <c r="DC107" s="230"/>
      <c r="DE107" s="230"/>
      <c r="DG107" s="230"/>
      <c r="DI107" s="230"/>
      <c r="DK107" s="230"/>
      <c r="DM107" s="261"/>
      <c r="DO107" s="261"/>
      <c r="DQ107" s="261"/>
      <c r="DS107" s="261"/>
      <c r="DU107" s="261"/>
      <c r="DW107" s="261"/>
      <c r="DY107" s="187"/>
      <c r="EA107" s="187"/>
      <c r="EC107" s="187"/>
      <c r="EE107" s="187"/>
      <c r="EG107" s="187"/>
      <c r="EI107" s="187"/>
    </row>
    <row r="108" spans="1:139" x14ac:dyDescent="0.2">
      <c r="A108" s="6" t="s">
        <v>130</v>
      </c>
      <c r="B108" s="7" t="s">
        <v>131</v>
      </c>
      <c r="E108" s="187"/>
      <c r="G108" s="187"/>
      <c r="I108" s="201"/>
      <c r="K108" s="201"/>
      <c r="M108" s="201"/>
      <c r="O108" s="201"/>
      <c r="Q108" s="215"/>
      <c r="S108" s="215"/>
      <c r="U108" s="215"/>
      <c r="W108" s="215"/>
      <c r="Y108" s="245"/>
      <c r="AA108" s="245"/>
      <c r="AC108" s="245"/>
      <c r="AE108" s="245"/>
      <c r="AG108" s="245"/>
      <c r="AI108" s="245"/>
      <c r="AK108" s="230"/>
      <c r="AM108" s="230"/>
      <c r="AO108" s="230"/>
      <c r="AQ108" s="230"/>
      <c r="AS108" s="230"/>
      <c r="AU108" s="230"/>
      <c r="AW108" s="261"/>
      <c r="AY108" s="261"/>
      <c r="BA108" s="261"/>
      <c r="BC108" s="261"/>
      <c r="BE108" s="261"/>
      <c r="BG108" s="261"/>
      <c r="BI108" s="261"/>
      <c r="BK108" s="261"/>
      <c r="BM108" s="187"/>
      <c r="BO108" s="187"/>
      <c r="BQ108" s="187"/>
      <c r="BS108" s="187"/>
      <c r="BU108" s="201"/>
      <c r="BW108" s="201"/>
      <c r="BY108" s="201"/>
      <c r="CA108" s="201"/>
      <c r="CC108" s="201"/>
      <c r="CE108" s="201"/>
      <c r="CG108" s="201"/>
      <c r="CI108" s="201"/>
      <c r="CK108" s="215"/>
      <c r="CM108" s="215"/>
      <c r="CO108" s="215"/>
      <c r="CQ108" s="215"/>
      <c r="CS108" s="245"/>
      <c r="CU108" s="245"/>
      <c r="CW108" s="245"/>
      <c r="CY108" s="245"/>
      <c r="DA108" s="230"/>
      <c r="DC108" s="230"/>
      <c r="DE108" s="230"/>
      <c r="DG108" s="230"/>
      <c r="DI108" s="230"/>
      <c r="DK108" s="230"/>
      <c r="DM108" s="261"/>
      <c r="DO108" s="261"/>
      <c r="DQ108" s="261"/>
      <c r="DS108" s="261"/>
      <c r="DU108" s="261"/>
      <c r="DW108" s="261"/>
      <c r="DY108" s="187"/>
      <c r="EA108" s="187"/>
      <c r="EC108" s="187"/>
      <c r="EE108" s="187"/>
      <c r="EG108" s="187"/>
      <c r="EI108" s="187"/>
    </row>
    <row r="109" spans="1:139" outlineLevel="1" x14ac:dyDescent="0.2">
      <c r="A109"/>
      <c r="B109" s="9" t="s">
        <v>55</v>
      </c>
      <c r="C109" s="8">
        <f>1883.05224610559+89.9477538944136</f>
        <v>1973.0000000000036</v>
      </c>
      <c r="D109" s="188">
        <f>967.527394309411+37.4726056905894</f>
        <v>1005.0000000000003</v>
      </c>
      <c r="E109" s="189"/>
      <c r="F109" s="188">
        <f>915.674025315765+52.3259746842352</f>
        <v>968.00000000000023</v>
      </c>
      <c r="G109" s="189"/>
      <c r="H109" s="202">
        <f>614.914712703891+25.0852872961091</f>
        <v>640.00000000000011</v>
      </c>
      <c r="I109" s="203"/>
      <c r="J109" s="202">
        <f>571.592789928119+29.4072100718807</f>
        <v>600.99999999999977</v>
      </c>
      <c r="K109" s="203"/>
      <c r="L109" s="202">
        <f>352.928444129701+12.0715558702993</f>
        <v>365.00000000000028</v>
      </c>
      <c r="M109" s="203"/>
      <c r="N109" s="202">
        <f>344.344915978557+22.6550840214431</f>
        <v>367.00000000000011</v>
      </c>
      <c r="O109" s="203"/>
      <c r="P109" s="216">
        <f>666.134795233083+26.8652047669171</f>
        <v>693.00000000000011</v>
      </c>
      <c r="Q109" s="217"/>
      <c r="R109" s="216">
        <f>628.589973530577+34.410026469423</f>
        <v>663</v>
      </c>
      <c r="S109" s="217"/>
      <c r="T109" s="216">
        <f>301.732918900987+10.2670810990132</f>
        <v>312.00000000000017</v>
      </c>
      <c r="U109" s="217"/>
      <c r="V109" s="216">
        <f>287.140440951688+17.8595590483123</f>
        <v>305.00000000000028</v>
      </c>
      <c r="W109" s="217"/>
      <c r="X109" s="246">
        <f>108.171904333963+4.82809566603692</f>
        <v>112.99999999999991</v>
      </c>
      <c r="Y109" s="247"/>
      <c r="Z109" s="246">
        <f>100.435584999034+3.56441500096641</f>
        <v>104.00000000000041</v>
      </c>
      <c r="AA109" s="247"/>
      <c r="AB109" s="246">
        <f>97.1245187341028+1.87548126589725</f>
        <v>99.000000000000043</v>
      </c>
      <c r="AC109" s="247"/>
      <c r="AD109" s="246">
        <f>89.7922517565178+7.20774824348219</f>
        <v>96.999999999999986</v>
      </c>
      <c r="AE109" s="247"/>
      <c r="AF109" s="246">
        <f>83.2058580005259+5.79414199947415</f>
        <v>89.000000000000043</v>
      </c>
      <c r="AG109" s="247"/>
      <c r="AH109" s="246">
        <f>105.139139086837+4.86086091316319</f>
        <v>110.0000000000002</v>
      </c>
      <c r="AI109" s="247"/>
      <c r="AJ109" s="231">
        <f>81.347414494191+3.65258550580896</f>
        <v>84.999999999999957</v>
      </c>
      <c r="AK109" s="232"/>
      <c r="AL109" s="231">
        <f>86.7773955885698+3.22260441143024</f>
        <v>90.000000000000043</v>
      </c>
      <c r="AM109" s="232"/>
      <c r="AN109" s="231">
        <f>91.2486792832434+1.75132071675662</f>
        <v>93.000000000000028</v>
      </c>
      <c r="AO109" s="232"/>
      <c r="AP109" s="231">
        <f>61.5558959595598+3.44410404044016</f>
        <v>64.999999999999957</v>
      </c>
      <c r="AQ109" s="232"/>
      <c r="AR109" s="231">
        <f>72.5600476663241+5.43995233367595</f>
        <v>78.000000000000043</v>
      </c>
      <c r="AS109" s="232"/>
      <c r="AT109" s="231">
        <f>96.2370441283936+4.76295587160638</f>
        <v>100.99999999999999</v>
      </c>
      <c r="AU109" s="232"/>
      <c r="AV109" s="262">
        <f>197.715853616343+7.284146383657</f>
        <v>205</v>
      </c>
      <c r="AW109" s="263"/>
      <c r="AX109" s="262">
        <f>222.310601003113+7.68939899688726</f>
        <v>230.00000000000026</v>
      </c>
      <c r="AY109" s="263"/>
      <c r="AZ109" s="262">
        <f>392.403354729256+13.5966452707435</f>
        <v>405.99999999999955</v>
      </c>
      <c r="BA109" s="263"/>
      <c r="BB109" s="262">
        <f>346.728378469888+22.2716215301122</f>
        <v>369.00000000000023</v>
      </c>
      <c r="BC109" s="263"/>
      <c r="BD109" s="262">
        <f>154.550159416201+5.44984058379873</f>
        <v>159.99999999999974</v>
      </c>
      <c r="BE109" s="263"/>
      <c r="BF109" s="262">
        <f>156.704083884388+5.29591611561236</f>
        <v>162.00000000000037</v>
      </c>
      <c r="BG109" s="263"/>
      <c r="BH109" s="262">
        <f>230.339276084846+3.66072391515439</f>
        <v>234.0000000000004</v>
      </c>
      <c r="BI109" s="263"/>
      <c r="BJ109" s="262">
        <f>200.935318042598+6.06468195740226</f>
        <v>207.00000000000026</v>
      </c>
      <c r="BK109" s="263"/>
      <c r="BL109" s="188">
        <f>467.920890025199+23.0791099748013</f>
        <v>491.00000000000034</v>
      </c>
      <c r="BM109" s="189"/>
      <c r="BN109" s="188">
        <f>455.419752172956+21.5802478270436</f>
        <v>476.9999999999996</v>
      </c>
      <c r="BO109" s="189"/>
      <c r="BP109" s="188">
        <f>499.920187868175+14.0798121318251</f>
        <v>514.00000000000011</v>
      </c>
      <c r="BQ109" s="189"/>
      <c r="BR109" s="188">
        <f>460.279012276745+30.7209877232551</f>
        <v>491.00000000000011</v>
      </c>
      <c r="BS109" s="189"/>
      <c r="BT109" s="202">
        <f>199.012276964019+5.98772303598091</f>
        <v>204.99999999999991</v>
      </c>
      <c r="BU109" s="203"/>
      <c r="BV109" s="202">
        <f>181.014059701763+4.98594029823695</f>
        <v>185.99999999999994</v>
      </c>
      <c r="BW109" s="203"/>
      <c r="BX109" s="202">
        <f>358.107365326749+11.8926346732514</f>
        <v>370.0000000000004</v>
      </c>
      <c r="BY109" s="203"/>
      <c r="BZ109" s="202">
        <f>390.539964767126+7.46003523287402</f>
        <v>398</v>
      </c>
      <c r="CA109" s="203"/>
      <c r="CB109" s="202">
        <f>216.489006579472+5.51099342052765</f>
        <v>221.99999999999966</v>
      </c>
      <c r="CC109" s="203"/>
      <c r="CD109" s="202">
        <f>193.528998687179+8.47100131282144</f>
        <v>202.00000000000045</v>
      </c>
      <c r="CE109" s="203"/>
      <c r="CF109" s="202">
        <f>196.54096017015+11.45903982985</f>
        <v>208</v>
      </c>
      <c r="CG109" s="203"/>
      <c r="CH109" s="202">
        <f>168.225931261699+13.7740687383015</f>
        <v>182.00000000000051</v>
      </c>
      <c r="CI109" s="203"/>
      <c r="CJ109" s="216">
        <f>434.967758722076+15.0322412779238</f>
        <v>449.99999999999977</v>
      </c>
      <c r="CK109" s="217"/>
      <c r="CL109" s="216">
        <f>461.320453395883+26.6795466041166</f>
        <v>487.9999999999996</v>
      </c>
      <c r="CM109" s="217"/>
      <c r="CN109" s="216">
        <f>499.832494257641+21.1675057423587</f>
        <v>520.99999999999966</v>
      </c>
      <c r="CO109" s="217"/>
      <c r="CP109" s="216">
        <f>419.228434557519+23.7715654424807</f>
        <v>442.99999999999972</v>
      </c>
      <c r="CQ109" s="217"/>
      <c r="CR109" s="246">
        <f>278.600721225599+9.39927877440061</f>
        <v>287.9999999999996</v>
      </c>
      <c r="CS109" s="247"/>
      <c r="CT109" s="246">
        <f>288.303155214841+11.696844785159</f>
        <v>300</v>
      </c>
      <c r="CU109" s="247"/>
      <c r="CV109" s="246">
        <f>687.2765940079+27.7234059920997</f>
        <v>714.99999999999977</v>
      </c>
      <c r="CW109" s="247"/>
      <c r="CX109" s="246">
        <f>623.292717768491+39.7072822315085</f>
        <v>662.99999999999955</v>
      </c>
      <c r="CY109" s="247"/>
      <c r="CZ109" s="231">
        <f>692.423144809988+22.576855190012</f>
        <v>715</v>
      </c>
      <c r="DA109" s="232"/>
      <c r="DB109" s="231">
        <f>663.537743943924+34.4622560560761</f>
        <v>698.00000000000011</v>
      </c>
      <c r="DC109" s="232"/>
      <c r="DD109" s="231">
        <f>144.910200171351+8.08979982864935</f>
        <v>153.00000000000034</v>
      </c>
      <c r="DE109" s="232"/>
      <c r="DF109" s="231">
        <f>147.583017202747+10.4169827972532</f>
        <v>158.0000000000002</v>
      </c>
      <c r="DG109" s="232"/>
      <c r="DH109" s="231">
        <f>137.928914326619+13.0710856733805</f>
        <v>150.99999999999952</v>
      </c>
      <c r="DI109" s="232"/>
      <c r="DJ109" s="231">
        <f>128.919238413463+7.08076158653716</f>
        <v>136.00000000000017</v>
      </c>
      <c r="DK109" s="232"/>
      <c r="DL109" s="262">
        <f>413.862071051737+17.1379289482628</f>
        <v>430.99999999999983</v>
      </c>
      <c r="DM109" s="263"/>
      <c r="DN109" s="262">
        <f>357.90141607247+21.0985839275298</f>
        <v>378.99999999999977</v>
      </c>
      <c r="DO109" s="263"/>
      <c r="DP109" s="262">
        <f>241.873526237823+8.1264737621774</f>
        <v>250.0000000000004</v>
      </c>
      <c r="DQ109" s="263"/>
      <c r="DR109" s="262">
        <f>256.512738009862+13.4872619901379</f>
        <v>269.99999999999989</v>
      </c>
      <c r="DS109" s="263"/>
      <c r="DT109" s="262">
        <f>225.871080498257+9.12891950174273</f>
        <v>234.99999999999972</v>
      </c>
      <c r="DU109" s="263"/>
      <c r="DV109" s="262">
        <f>199.781557066392+11.2184429336075</f>
        <v>210.99999999999949</v>
      </c>
      <c r="DW109" s="263"/>
      <c r="DX109" s="188">
        <f>259.270985115657+12.7290148843434</f>
        <v>272.00000000000045</v>
      </c>
      <c r="DY109" s="189"/>
      <c r="DZ109" s="188">
        <f>303.859853266346+18.1401467336542</f>
        <v>322.00000000000023</v>
      </c>
      <c r="EA109" s="189"/>
      <c r="EB109" s="188">
        <f>517.130870757899+18.8691292421007</f>
        <v>535.99999999999966</v>
      </c>
      <c r="EC109" s="189"/>
      <c r="ED109" s="188">
        <f>405.927020493304+22.0729795066961</f>
        <v>428.00000000000011</v>
      </c>
      <c r="EE109" s="189"/>
      <c r="EF109" s="188">
        <f>191.387221855571+5.61277814442948</f>
        <v>197.00000000000048</v>
      </c>
      <c r="EG109" s="189"/>
      <c r="EH109" s="188">
        <f>206.572842939928+11.4271570600716</f>
        <v>217.9999999999996</v>
      </c>
      <c r="EI109" s="189"/>
    </row>
    <row r="110" spans="1:139" s="18" customFormat="1" outlineLevel="1" x14ac:dyDescent="0.2">
      <c r="A110"/>
      <c r="B110" s="16"/>
      <c r="C110" s="17" t="s">
        <v>167</v>
      </c>
      <c r="D110" s="190" t="s">
        <v>167</v>
      </c>
      <c r="E110" s="191"/>
      <c r="F110" s="190" t="s">
        <v>167</v>
      </c>
      <c r="G110" s="191"/>
      <c r="H110" s="204" t="s">
        <v>167</v>
      </c>
      <c r="I110" s="205"/>
      <c r="J110" s="204" t="s">
        <v>167</v>
      </c>
      <c r="K110" s="205"/>
      <c r="L110" s="204" t="s">
        <v>167</v>
      </c>
      <c r="M110" s="205"/>
      <c r="N110" s="204" t="s">
        <v>167</v>
      </c>
      <c r="O110" s="205"/>
      <c r="P110" s="218" t="s">
        <v>167</v>
      </c>
      <c r="Q110" s="219"/>
      <c r="R110" s="218" t="s">
        <v>167</v>
      </c>
      <c r="S110" s="219"/>
      <c r="T110" s="218" t="s">
        <v>167</v>
      </c>
      <c r="U110" s="219"/>
      <c r="V110" s="218" t="s">
        <v>167</v>
      </c>
      <c r="W110" s="219"/>
      <c r="X110" s="248" t="s">
        <v>167</v>
      </c>
      <c r="Y110" s="249"/>
      <c r="Z110" s="248" t="s">
        <v>167</v>
      </c>
      <c r="AA110" s="249"/>
      <c r="AB110" s="248" t="s">
        <v>167</v>
      </c>
      <c r="AC110" s="249"/>
      <c r="AD110" s="248" t="s">
        <v>167</v>
      </c>
      <c r="AE110" s="249"/>
      <c r="AF110" s="248" t="s">
        <v>167</v>
      </c>
      <c r="AG110" s="249"/>
      <c r="AH110" s="248" t="s">
        <v>167</v>
      </c>
      <c r="AI110" s="249"/>
      <c r="AJ110" s="233" t="s">
        <v>167</v>
      </c>
      <c r="AK110" s="234"/>
      <c r="AL110" s="233" t="s">
        <v>167</v>
      </c>
      <c r="AM110" s="234"/>
      <c r="AN110" s="233" t="s">
        <v>167</v>
      </c>
      <c r="AO110" s="234"/>
      <c r="AP110" s="233" t="s">
        <v>167</v>
      </c>
      <c r="AQ110" s="234"/>
      <c r="AR110" s="233" t="s">
        <v>167</v>
      </c>
      <c r="AS110" s="234"/>
      <c r="AT110" s="233" t="s">
        <v>167</v>
      </c>
      <c r="AU110" s="234"/>
      <c r="AV110" s="264" t="s">
        <v>167</v>
      </c>
      <c r="AW110" s="265"/>
      <c r="AX110" s="264" t="s">
        <v>167</v>
      </c>
      <c r="AY110" s="265"/>
      <c r="AZ110" s="264" t="s">
        <v>167</v>
      </c>
      <c r="BA110" s="265"/>
      <c r="BB110" s="264" t="s">
        <v>167</v>
      </c>
      <c r="BC110" s="265"/>
      <c r="BD110" s="264" t="s">
        <v>167</v>
      </c>
      <c r="BE110" s="265"/>
      <c r="BF110" s="264" t="s">
        <v>167</v>
      </c>
      <c r="BG110" s="265"/>
      <c r="BH110" s="264" t="s">
        <v>167</v>
      </c>
      <c r="BI110" s="265"/>
      <c r="BJ110" s="264" t="s">
        <v>167</v>
      </c>
      <c r="BK110" s="265"/>
      <c r="BL110" s="190" t="s">
        <v>167</v>
      </c>
      <c r="BM110" s="191"/>
      <c r="BN110" s="190" t="s">
        <v>167</v>
      </c>
      <c r="BO110" s="191"/>
      <c r="BP110" s="190" t="s">
        <v>167</v>
      </c>
      <c r="BQ110" s="191"/>
      <c r="BR110" s="190" t="s">
        <v>167</v>
      </c>
      <c r="BS110" s="191"/>
      <c r="BT110" s="204" t="s">
        <v>167</v>
      </c>
      <c r="BU110" s="205"/>
      <c r="BV110" s="204" t="s">
        <v>167</v>
      </c>
      <c r="BW110" s="205"/>
      <c r="BX110" s="204" t="s">
        <v>167</v>
      </c>
      <c r="BY110" s="205"/>
      <c r="BZ110" s="204" t="s">
        <v>167</v>
      </c>
      <c r="CA110" s="205"/>
      <c r="CB110" s="204" t="s">
        <v>167</v>
      </c>
      <c r="CC110" s="205"/>
      <c r="CD110" s="204" t="s">
        <v>167</v>
      </c>
      <c r="CE110" s="205"/>
      <c r="CF110" s="204" t="s">
        <v>167</v>
      </c>
      <c r="CG110" s="205"/>
      <c r="CH110" s="204" t="s">
        <v>167</v>
      </c>
      <c r="CI110" s="205"/>
      <c r="CJ110" s="218" t="s">
        <v>167</v>
      </c>
      <c r="CK110" s="219"/>
      <c r="CL110" s="218" t="s">
        <v>167</v>
      </c>
      <c r="CM110" s="219"/>
      <c r="CN110" s="218" t="s">
        <v>167</v>
      </c>
      <c r="CO110" s="219"/>
      <c r="CP110" s="218" t="s">
        <v>167</v>
      </c>
      <c r="CQ110" s="219"/>
      <c r="CR110" s="248" t="s">
        <v>167</v>
      </c>
      <c r="CS110" s="249"/>
      <c r="CT110" s="248" t="s">
        <v>167</v>
      </c>
      <c r="CU110" s="249"/>
      <c r="CV110" s="248" t="s">
        <v>167</v>
      </c>
      <c r="CW110" s="249"/>
      <c r="CX110" s="248" t="s">
        <v>167</v>
      </c>
      <c r="CY110" s="249"/>
      <c r="CZ110" s="233" t="s">
        <v>167</v>
      </c>
      <c r="DA110" s="234"/>
      <c r="DB110" s="233" t="s">
        <v>167</v>
      </c>
      <c r="DC110" s="234"/>
      <c r="DD110" s="233" t="s">
        <v>167</v>
      </c>
      <c r="DE110" s="234"/>
      <c r="DF110" s="233" t="s">
        <v>167</v>
      </c>
      <c r="DG110" s="234"/>
      <c r="DH110" s="233" t="s">
        <v>167</v>
      </c>
      <c r="DI110" s="234"/>
      <c r="DJ110" s="233" t="s">
        <v>167</v>
      </c>
      <c r="DK110" s="234"/>
      <c r="DL110" s="264" t="s">
        <v>167</v>
      </c>
      <c r="DM110" s="265"/>
      <c r="DN110" s="264" t="s">
        <v>167</v>
      </c>
      <c r="DO110" s="265"/>
      <c r="DP110" s="264" t="s">
        <v>167</v>
      </c>
      <c r="DQ110" s="265"/>
      <c r="DR110" s="264" t="s">
        <v>167</v>
      </c>
      <c r="DS110" s="265"/>
      <c r="DT110" s="264" t="s">
        <v>167</v>
      </c>
      <c r="DU110" s="265"/>
      <c r="DV110" s="264" t="s">
        <v>167</v>
      </c>
      <c r="DW110" s="265"/>
      <c r="DX110" s="190" t="s">
        <v>167</v>
      </c>
      <c r="DY110" s="191"/>
      <c r="DZ110" s="190" t="s">
        <v>167</v>
      </c>
      <c r="EA110" s="191"/>
      <c r="EB110" s="190" t="s">
        <v>167</v>
      </c>
      <c r="EC110" s="191"/>
      <c r="ED110" s="190" t="s">
        <v>167</v>
      </c>
      <c r="EE110" s="191"/>
      <c r="EF110" s="190" t="s">
        <v>167</v>
      </c>
      <c r="EG110" s="191"/>
      <c r="EH110" s="190" t="s">
        <v>167</v>
      </c>
      <c r="EI110" s="191"/>
    </row>
    <row r="111" spans="1:139" outlineLevel="1" x14ac:dyDescent="0.2">
      <c r="A111"/>
      <c r="B111"/>
      <c r="E111" s="187"/>
      <c r="G111" s="187"/>
      <c r="I111" s="201"/>
      <c r="K111" s="201"/>
      <c r="M111" s="201"/>
      <c r="O111" s="201"/>
      <c r="Q111" s="215"/>
      <c r="S111" s="215"/>
      <c r="U111" s="215"/>
      <c r="W111" s="215"/>
      <c r="Y111" s="245"/>
      <c r="AA111" s="245"/>
      <c r="AC111" s="245"/>
      <c r="AE111" s="245"/>
      <c r="AG111" s="245"/>
      <c r="AI111" s="245"/>
      <c r="AK111" s="230"/>
      <c r="AM111" s="230"/>
      <c r="AO111" s="230"/>
      <c r="AQ111" s="230"/>
      <c r="AS111" s="230"/>
      <c r="AU111" s="230"/>
      <c r="AW111" s="261"/>
      <c r="AY111" s="261"/>
      <c r="BA111" s="261"/>
      <c r="BC111" s="261"/>
      <c r="BE111" s="261"/>
      <c r="BG111" s="261"/>
      <c r="BI111" s="261"/>
      <c r="BK111" s="261"/>
      <c r="BM111" s="187"/>
      <c r="BO111" s="187"/>
      <c r="BQ111" s="187"/>
      <c r="BS111" s="187"/>
      <c r="BU111" s="201"/>
      <c r="BW111" s="201"/>
      <c r="BY111" s="201"/>
      <c r="CA111" s="201"/>
      <c r="CC111" s="201"/>
      <c r="CE111" s="201"/>
      <c r="CG111" s="201"/>
      <c r="CI111" s="201"/>
      <c r="CK111" s="215"/>
      <c r="CM111" s="215"/>
      <c r="CO111" s="215"/>
      <c r="CQ111" s="215"/>
      <c r="CS111" s="245"/>
      <c r="CU111" s="245"/>
      <c r="CW111" s="245"/>
      <c r="CY111" s="245"/>
      <c r="DA111" s="230"/>
      <c r="DC111" s="230"/>
      <c r="DE111" s="230"/>
      <c r="DG111" s="230"/>
      <c r="DI111" s="230"/>
      <c r="DK111" s="230"/>
      <c r="DM111" s="261"/>
      <c r="DO111" s="261"/>
      <c r="DQ111" s="261"/>
      <c r="DS111" s="261"/>
      <c r="DU111" s="261"/>
      <c r="DW111" s="261"/>
      <c r="DY111" s="187"/>
      <c r="EA111" s="187"/>
      <c r="EC111" s="187"/>
      <c r="EE111" s="187"/>
      <c r="EG111" s="187"/>
      <c r="EI111" s="187"/>
    </row>
    <row r="112" spans="1:139" outlineLevel="1" x14ac:dyDescent="0.2">
      <c r="A112"/>
      <c r="B112" s="7" t="s">
        <v>132</v>
      </c>
      <c r="C112" s="10">
        <v>78.897244474249646</v>
      </c>
      <c r="D112" s="192">
        <v>79.337943659416965</v>
      </c>
      <c r="E112" s="189"/>
      <c r="F112" s="192">
        <v>78.439806198420385</v>
      </c>
      <c r="G112" s="189"/>
      <c r="H112" s="206">
        <v>91.202452935722107</v>
      </c>
      <c r="I112" s="203"/>
      <c r="J112" s="206">
        <v>90.020059819964914</v>
      </c>
      <c r="K112" s="203"/>
      <c r="L112" s="206">
        <v>59.423943050460892</v>
      </c>
      <c r="M112" s="203"/>
      <c r="N112" s="206">
        <v>59.876291488865412</v>
      </c>
      <c r="O112" s="203"/>
      <c r="P112" s="220">
        <v>91.43098153113722</v>
      </c>
      <c r="Q112" s="217"/>
      <c r="R112" s="220">
        <v>90.852368735702598</v>
      </c>
      <c r="S112" s="217"/>
      <c r="T112" s="220">
        <v>53.69183888613135</v>
      </c>
      <c r="U112" s="217"/>
      <c r="V112" s="220">
        <v>51.72134160486614</v>
      </c>
      <c r="W112" s="217"/>
      <c r="X112" s="250">
        <v>77.895420713000789</v>
      </c>
      <c r="Y112" s="247"/>
      <c r="Z112" s="250">
        <v>59.827917627147201</v>
      </c>
      <c r="AA112" s="247"/>
      <c r="AB112" s="250">
        <v>44.380478573564361</v>
      </c>
      <c r="AC112" s="247"/>
      <c r="AD112" s="250">
        <v>72.688717193642887</v>
      </c>
      <c r="AE112" s="247"/>
      <c r="AF112" s="250">
        <v>58.664844206889988</v>
      </c>
      <c r="AG112" s="247"/>
      <c r="AH112" s="250">
        <v>42.514759762325113</v>
      </c>
      <c r="AI112" s="247"/>
      <c r="AJ112" s="235">
        <v>73.341859503744004</v>
      </c>
      <c r="AK112" s="232"/>
      <c r="AL112" s="235">
        <v>53.667153942295378</v>
      </c>
      <c r="AM112" s="232"/>
      <c r="AN112" s="235">
        <v>42.025378304619004</v>
      </c>
      <c r="AO112" s="232"/>
      <c r="AP112" s="235">
        <v>58.009885847555068</v>
      </c>
      <c r="AQ112" s="232"/>
      <c r="AR112" s="235">
        <v>54.250396351633128</v>
      </c>
      <c r="AS112" s="232"/>
      <c r="AT112" s="235">
        <v>37.420888773619708</v>
      </c>
      <c r="AU112" s="232"/>
      <c r="AV112" s="266">
        <v>76.011775480708664</v>
      </c>
      <c r="AW112" s="263"/>
      <c r="AX112" s="266">
        <v>72.443474093198631</v>
      </c>
      <c r="AY112" s="263"/>
      <c r="AZ112" s="266">
        <v>73.451794290617499</v>
      </c>
      <c r="BA112" s="263"/>
      <c r="BB112" s="266">
        <v>77.732878521257376</v>
      </c>
      <c r="BC112" s="263"/>
      <c r="BD112" s="266">
        <v>82.981647893683245</v>
      </c>
      <c r="BE112" s="263"/>
      <c r="BF112" s="266">
        <v>78.353959471310205</v>
      </c>
      <c r="BG112" s="263"/>
      <c r="BH112" s="266">
        <v>92.636500401327822</v>
      </c>
      <c r="BI112" s="263"/>
      <c r="BJ112" s="266">
        <v>86.962056488833483</v>
      </c>
      <c r="BK112" s="263"/>
      <c r="BL112" s="192">
        <v>79.227650433729181</v>
      </c>
      <c r="BM112" s="189"/>
      <c r="BN112" s="192">
        <v>80.758619969575761</v>
      </c>
      <c r="BO112" s="189"/>
      <c r="BP112" s="192">
        <v>79.444962744436481</v>
      </c>
      <c r="BQ112" s="189"/>
      <c r="BR112" s="192">
        <v>76.169201368190073</v>
      </c>
      <c r="BS112" s="189"/>
      <c r="BT112" s="206">
        <v>83.766027736691598</v>
      </c>
      <c r="BU112" s="203"/>
      <c r="BV112" s="206">
        <v>80.892872637090221</v>
      </c>
      <c r="BW112" s="203"/>
      <c r="BX112" s="206">
        <v>76.835821624812581</v>
      </c>
      <c r="BY112" s="203"/>
      <c r="BZ112" s="206">
        <v>76.198442562409454</v>
      </c>
      <c r="CA112" s="203"/>
      <c r="CB112" s="206">
        <v>76.361083262380916</v>
      </c>
      <c r="CC112" s="203"/>
      <c r="CD112" s="206">
        <v>76.829084354191949</v>
      </c>
      <c r="CE112" s="203"/>
      <c r="CF112" s="206">
        <v>82.510976590145461</v>
      </c>
      <c r="CG112" s="203"/>
      <c r="CH112" s="206">
        <v>81.645004555262759</v>
      </c>
      <c r="CI112" s="203"/>
      <c r="CJ112" s="220">
        <v>74.308212940003088</v>
      </c>
      <c r="CK112" s="217"/>
      <c r="CL112" s="220">
        <v>74.522926991531051</v>
      </c>
      <c r="CM112" s="217"/>
      <c r="CN112" s="220">
        <v>84.02675372368175</v>
      </c>
      <c r="CO112" s="217"/>
      <c r="CP112" s="220">
        <v>83.677015563963721</v>
      </c>
      <c r="CQ112" s="217"/>
      <c r="CR112" s="250">
        <v>71.657584640102016</v>
      </c>
      <c r="CS112" s="247"/>
      <c r="CT112" s="250">
        <v>65.297268954500268</v>
      </c>
      <c r="CU112" s="247"/>
      <c r="CV112" s="250">
        <v>82.628214277296166</v>
      </c>
      <c r="CW112" s="247"/>
      <c r="CX112" s="250">
        <v>84.4674256866859</v>
      </c>
      <c r="CY112" s="247"/>
      <c r="CZ112" s="235">
        <v>81.148120069267449</v>
      </c>
      <c r="DA112" s="232"/>
      <c r="DB112" s="235">
        <v>79.564484712428111</v>
      </c>
      <c r="DC112" s="232"/>
      <c r="DD112" s="235">
        <v>71.41942354645289</v>
      </c>
      <c r="DE112" s="232"/>
      <c r="DF112" s="235">
        <v>69.820405196814164</v>
      </c>
      <c r="DG112" s="232"/>
      <c r="DH112" s="235">
        <v>75.123982424128883</v>
      </c>
      <c r="DI112" s="232"/>
      <c r="DJ112" s="235">
        <v>80.321386868120328</v>
      </c>
      <c r="DK112" s="232"/>
      <c r="DL112" s="266">
        <v>90.481120545562035</v>
      </c>
      <c r="DM112" s="263"/>
      <c r="DN112" s="266">
        <v>88.147601224370973</v>
      </c>
      <c r="DO112" s="263"/>
      <c r="DP112" s="266">
        <v>70.080944141859248</v>
      </c>
      <c r="DQ112" s="263"/>
      <c r="DR112" s="266">
        <v>70.336978337357948</v>
      </c>
      <c r="DS112" s="263"/>
      <c r="DT112" s="266">
        <v>73.981867563698501</v>
      </c>
      <c r="DU112" s="263"/>
      <c r="DV112" s="266">
        <v>73.367307840438002</v>
      </c>
      <c r="DW112" s="263"/>
      <c r="DX112" s="192">
        <v>80.237776864751808</v>
      </c>
      <c r="DY112" s="189"/>
      <c r="DZ112" s="192">
        <v>83.899672141382268</v>
      </c>
      <c r="EA112" s="189"/>
      <c r="EB112" s="192">
        <v>82.952059477177428</v>
      </c>
      <c r="EC112" s="189"/>
      <c r="ED112" s="192">
        <v>78.09068539355566</v>
      </c>
      <c r="EE112" s="189"/>
      <c r="EF112" s="192">
        <v>68.705799845146956</v>
      </c>
      <c r="EG112" s="189"/>
      <c r="EH112" s="192">
        <v>70.620378624993435</v>
      </c>
      <c r="EI112" s="189"/>
    </row>
    <row r="113" spans="1:139" outlineLevel="1" x14ac:dyDescent="0.2">
      <c r="A113"/>
      <c r="B113" s="11" t="s">
        <v>133</v>
      </c>
      <c r="C113" s="12">
        <v>44.844170226884721</v>
      </c>
      <c r="D113" s="193">
        <v>46.422931282144823</v>
      </c>
      <c r="E113" s="189"/>
      <c r="F113" s="193">
        <v>43.205443042058164</v>
      </c>
      <c r="G113" s="189"/>
      <c r="H113" s="207">
        <v>64.519289007802868</v>
      </c>
      <c r="I113" s="203" t="s">
        <v>180</v>
      </c>
      <c r="J113" s="207">
        <v>57.784076358103569</v>
      </c>
      <c r="K113" s="203"/>
      <c r="L113" s="207">
        <v>16.049076757175548</v>
      </c>
      <c r="M113" s="203"/>
      <c r="N113" s="207">
        <v>19.835430359078497</v>
      </c>
      <c r="O113" s="203"/>
      <c r="P113" s="221">
        <v>63.113373825248473</v>
      </c>
      <c r="Q113" s="217" t="s">
        <v>184</v>
      </c>
      <c r="R113" s="221">
        <v>57.71384642558931</v>
      </c>
      <c r="S113" s="217"/>
      <c r="T113" s="221">
        <v>11.026958598231497</v>
      </c>
      <c r="U113" s="217"/>
      <c r="V113" s="221">
        <v>11.975609480490043</v>
      </c>
      <c r="W113" s="217"/>
      <c r="X113" s="251">
        <v>25.787007704083138</v>
      </c>
      <c r="Y113" s="247"/>
      <c r="Z113" s="251">
        <v>18.01714697075289</v>
      </c>
      <c r="AA113" s="247"/>
      <c r="AB113" s="251">
        <v>6.112593047227862</v>
      </c>
      <c r="AC113" s="247"/>
      <c r="AD113" s="251">
        <v>35.752515976259502</v>
      </c>
      <c r="AE113" s="247"/>
      <c r="AF113" s="251">
        <v>13.351331256998563</v>
      </c>
      <c r="AG113" s="247"/>
      <c r="AH113" s="251">
        <v>10.085426277122844</v>
      </c>
      <c r="AI113" s="247"/>
      <c r="AJ113" s="236">
        <v>16.534076495955354</v>
      </c>
      <c r="AK113" s="232"/>
      <c r="AL113" s="236">
        <v>16.240410901430472</v>
      </c>
      <c r="AM113" s="232"/>
      <c r="AN113" s="236">
        <v>4.58152106958884</v>
      </c>
      <c r="AO113" s="232"/>
      <c r="AP113" s="236">
        <v>19.485419386156391</v>
      </c>
      <c r="AQ113" s="232"/>
      <c r="AR113" s="236">
        <v>9.5584172723022665</v>
      </c>
      <c r="AS113" s="232"/>
      <c r="AT113" s="236">
        <v>5.110443146862468</v>
      </c>
      <c r="AU113" s="232"/>
      <c r="AV113" s="267">
        <v>37.320714814522972</v>
      </c>
      <c r="AW113" s="263"/>
      <c r="AX113" s="267">
        <v>33.052406135002741</v>
      </c>
      <c r="AY113" s="263"/>
      <c r="AZ113" s="267">
        <v>36.434977710903006</v>
      </c>
      <c r="BA113" s="263"/>
      <c r="BB113" s="267">
        <v>40.120498493026972</v>
      </c>
      <c r="BC113" s="263"/>
      <c r="BD113" s="267">
        <v>48.382753095644318</v>
      </c>
      <c r="BE113" s="263"/>
      <c r="BF113" s="267">
        <v>44.351833281554974</v>
      </c>
      <c r="BG113" s="263"/>
      <c r="BH113" s="267">
        <v>75.850857646838548</v>
      </c>
      <c r="BI113" s="263" t="s">
        <v>178</v>
      </c>
      <c r="BJ113" s="267">
        <v>60.74181289259969</v>
      </c>
      <c r="BK113" s="263"/>
      <c r="BL113" s="193">
        <v>49.278919180005296</v>
      </c>
      <c r="BM113" s="189"/>
      <c r="BN113" s="193">
        <v>48.775647143631247</v>
      </c>
      <c r="BO113" s="189"/>
      <c r="BP113" s="193">
        <v>43.651725618788156</v>
      </c>
      <c r="BQ113" s="189"/>
      <c r="BR113" s="193">
        <v>37.751045411799716</v>
      </c>
      <c r="BS113" s="189"/>
      <c r="BT113" s="207">
        <v>54.853608432187649</v>
      </c>
      <c r="BU113" s="203" t="s">
        <v>209</v>
      </c>
      <c r="BV113" s="207">
        <v>40.14708773532994</v>
      </c>
      <c r="BW113" s="203"/>
      <c r="BX113" s="207">
        <v>41.642391691566623</v>
      </c>
      <c r="BY113" s="203"/>
      <c r="BZ113" s="207">
        <v>42.860286926051799</v>
      </c>
      <c r="CA113" s="203"/>
      <c r="CB113" s="207">
        <v>42.794585217339289</v>
      </c>
      <c r="CC113" s="203"/>
      <c r="CD113" s="207">
        <v>46.765993451789718</v>
      </c>
      <c r="CE113" s="203"/>
      <c r="CF113" s="207">
        <v>50.414121494877591</v>
      </c>
      <c r="CG113" s="203"/>
      <c r="CH113" s="207">
        <v>42.726347572551624</v>
      </c>
      <c r="CI113" s="203"/>
      <c r="CJ113" s="221">
        <v>38.702318760428739</v>
      </c>
      <c r="CK113" s="217"/>
      <c r="CL113" s="221">
        <v>38.985312480360676</v>
      </c>
      <c r="CM113" s="217"/>
      <c r="CN113" s="221">
        <v>53.346308050972759</v>
      </c>
      <c r="CO113" s="217"/>
      <c r="CP113" s="221">
        <v>49.299100050302684</v>
      </c>
      <c r="CQ113" s="217"/>
      <c r="CR113" s="251">
        <v>36.942338205898125</v>
      </c>
      <c r="CS113" s="247"/>
      <c r="CT113" s="251">
        <v>31.487908721248481</v>
      </c>
      <c r="CU113" s="247"/>
      <c r="CV113" s="251">
        <v>50.544418748012568</v>
      </c>
      <c r="CW113" s="247"/>
      <c r="CX113" s="251">
        <v>48.63136001314566</v>
      </c>
      <c r="CY113" s="247"/>
      <c r="CZ113" s="236">
        <v>47.540415279353851</v>
      </c>
      <c r="DA113" s="232"/>
      <c r="DB113" s="236">
        <v>45.128689829318311</v>
      </c>
      <c r="DC113" s="232"/>
      <c r="DD113" s="236">
        <v>41.012303656853646</v>
      </c>
      <c r="DE113" s="232"/>
      <c r="DF113" s="236">
        <v>33.246475281127374</v>
      </c>
      <c r="DG113" s="232"/>
      <c r="DH113" s="236">
        <v>43.295482499795</v>
      </c>
      <c r="DI113" s="232"/>
      <c r="DJ113" s="236">
        <v>41.282875279571229</v>
      </c>
      <c r="DK113" s="232"/>
      <c r="DL113" s="267">
        <v>60.873406108855178</v>
      </c>
      <c r="DM113" s="263"/>
      <c r="DN113" s="267">
        <v>57.973624090836367</v>
      </c>
      <c r="DO113" s="263"/>
      <c r="DP113" s="267">
        <v>33.627678137013362</v>
      </c>
      <c r="DQ113" s="263"/>
      <c r="DR113" s="267">
        <v>33.967781960569283</v>
      </c>
      <c r="DS113" s="263"/>
      <c r="DT113" s="267">
        <v>38.620145290344198</v>
      </c>
      <c r="DU113" s="263"/>
      <c r="DV113" s="267">
        <v>35.696192656292283</v>
      </c>
      <c r="DW113" s="263"/>
      <c r="DX113" s="193">
        <v>48.437567698801033</v>
      </c>
      <c r="DY113" s="189"/>
      <c r="DZ113" s="193">
        <v>50.621762308163845</v>
      </c>
      <c r="EA113" s="189"/>
      <c r="EB113" s="193">
        <v>51.19786646201667</v>
      </c>
      <c r="EC113" s="189" t="s">
        <v>237</v>
      </c>
      <c r="ED113" s="193">
        <v>42.986044387211891</v>
      </c>
      <c r="EE113" s="189"/>
      <c r="EF113" s="193">
        <v>31.263561589804453</v>
      </c>
      <c r="EG113" s="189"/>
      <c r="EH113" s="193">
        <v>32.083486286643243</v>
      </c>
      <c r="EI113" s="189"/>
    </row>
    <row r="114" spans="1:139" outlineLevel="1" x14ac:dyDescent="0.2">
      <c r="A114"/>
      <c r="B114" s="11" t="s">
        <v>134</v>
      </c>
      <c r="C114" s="12">
        <v>34.053074247364925</v>
      </c>
      <c r="D114" s="193">
        <v>32.915012377272134</v>
      </c>
      <c r="E114" s="189"/>
      <c r="F114" s="193">
        <v>35.234363156362214</v>
      </c>
      <c r="G114" s="189"/>
      <c r="H114" s="207">
        <v>26.683163927919246</v>
      </c>
      <c r="I114" s="203"/>
      <c r="J114" s="207">
        <v>32.235983461861352</v>
      </c>
      <c r="K114" s="203" t="s">
        <v>179</v>
      </c>
      <c r="L114" s="207">
        <v>43.374866293285343</v>
      </c>
      <c r="M114" s="203"/>
      <c r="N114" s="207">
        <v>40.040861129786911</v>
      </c>
      <c r="O114" s="203"/>
      <c r="P114" s="221">
        <v>28.317607705888744</v>
      </c>
      <c r="Q114" s="217"/>
      <c r="R114" s="221">
        <v>33.138522310113295</v>
      </c>
      <c r="S114" s="217"/>
      <c r="T114" s="221">
        <v>42.664880287899848</v>
      </c>
      <c r="U114" s="217"/>
      <c r="V114" s="221">
        <v>39.74573212437609</v>
      </c>
      <c r="W114" s="217"/>
      <c r="X114" s="251">
        <v>52.108413008917651</v>
      </c>
      <c r="Y114" s="247" t="s">
        <v>189</v>
      </c>
      <c r="Z114" s="251">
        <v>41.810770656394311</v>
      </c>
      <c r="AA114" s="247"/>
      <c r="AB114" s="251">
        <v>38.267885526336499</v>
      </c>
      <c r="AC114" s="247"/>
      <c r="AD114" s="251">
        <v>36.936201217383385</v>
      </c>
      <c r="AE114" s="247"/>
      <c r="AF114" s="251">
        <v>45.313512949891425</v>
      </c>
      <c r="AG114" s="247"/>
      <c r="AH114" s="251">
        <v>32.429333485202271</v>
      </c>
      <c r="AI114" s="247"/>
      <c r="AJ114" s="236">
        <v>56.80778300778865</v>
      </c>
      <c r="AK114" s="232" t="s">
        <v>195</v>
      </c>
      <c r="AL114" s="236">
        <v>37.426743040864906</v>
      </c>
      <c r="AM114" s="232"/>
      <c r="AN114" s="236">
        <v>37.443857235030158</v>
      </c>
      <c r="AO114" s="232"/>
      <c r="AP114" s="236">
        <v>38.524466461398674</v>
      </c>
      <c r="AQ114" s="232"/>
      <c r="AR114" s="236">
        <v>44.691979079330856</v>
      </c>
      <c r="AS114" s="232"/>
      <c r="AT114" s="236">
        <v>32.310445626757236</v>
      </c>
      <c r="AU114" s="232"/>
      <c r="AV114" s="267">
        <v>38.691060666185699</v>
      </c>
      <c r="AW114" s="263"/>
      <c r="AX114" s="267">
        <v>39.39106795819589</v>
      </c>
      <c r="AY114" s="263"/>
      <c r="AZ114" s="267">
        <v>37.016816579714501</v>
      </c>
      <c r="BA114" s="263"/>
      <c r="BB114" s="267">
        <v>37.612380028230397</v>
      </c>
      <c r="BC114" s="263"/>
      <c r="BD114" s="267">
        <v>34.598894798038927</v>
      </c>
      <c r="BE114" s="263"/>
      <c r="BF114" s="267">
        <v>34.002126189755224</v>
      </c>
      <c r="BG114" s="263"/>
      <c r="BH114" s="267">
        <v>16.785642754489274</v>
      </c>
      <c r="BI114" s="263"/>
      <c r="BJ114" s="267">
        <v>26.220243596233782</v>
      </c>
      <c r="BK114" s="263" t="s">
        <v>177</v>
      </c>
      <c r="BL114" s="193">
        <v>29.948731253723889</v>
      </c>
      <c r="BM114" s="189"/>
      <c r="BN114" s="193">
        <v>31.982972825944511</v>
      </c>
      <c r="BO114" s="189"/>
      <c r="BP114" s="193">
        <v>35.793237125648325</v>
      </c>
      <c r="BQ114" s="189"/>
      <c r="BR114" s="193">
        <v>38.418155956390351</v>
      </c>
      <c r="BS114" s="189"/>
      <c r="BT114" s="207">
        <v>28.912419304503942</v>
      </c>
      <c r="BU114" s="203"/>
      <c r="BV114" s="207">
        <v>40.745784901760281</v>
      </c>
      <c r="BW114" s="203" t="s">
        <v>208</v>
      </c>
      <c r="BX114" s="207">
        <v>35.193429933245952</v>
      </c>
      <c r="BY114" s="203"/>
      <c r="BZ114" s="207">
        <v>33.338155636357662</v>
      </c>
      <c r="CA114" s="203"/>
      <c r="CB114" s="207">
        <v>33.566498045041634</v>
      </c>
      <c r="CC114" s="203"/>
      <c r="CD114" s="207">
        <v>30.063090902402234</v>
      </c>
      <c r="CE114" s="203"/>
      <c r="CF114" s="207">
        <v>32.09685509526787</v>
      </c>
      <c r="CG114" s="203"/>
      <c r="CH114" s="207">
        <v>38.918656982711134</v>
      </c>
      <c r="CI114" s="203"/>
      <c r="CJ114" s="221">
        <v>35.605894179574356</v>
      </c>
      <c r="CK114" s="217"/>
      <c r="CL114" s="221">
        <v>35.537614511170375</v>
      </c>
      <c r="CM114" s="217"/>
      <c r="CN114" s="221">
        <v>30.680445672708981</v>
      </c>
      <c r="CO114" s="217"/>
      <c r="CP114" s="221">
        <v>34.377915513661037</v>
      </c>
      <c r="CQ114" s="217"/>
      <c r="CR114" s="251">
        <v>34.715246434203884</v>
      </c>
      <c r="CS114" s="247"/>
      <c r="CT114" s="251">
        <v>33.809360233251788</v>
      </c>
      <c r="CU114" s="247"/>
      <c r="CV114" s="251">
        <v>32.083795529283591</v>
      </c>
      <c r="CW114" s="247"/>
      <c r="CX114" s="251">
        <v>35.83606567354024</v>
      </c>
      <c r="CY114" s="247"/>
      <c r="CZ114" s="236">
        <v>33.607704789913598</v>
      </c>
      <c r="DA114" s="232"/>
      <c r="DB114" s="236">
        <v>34.435794883109807</v>
      </c>
      <c r="DC114" s="232"/>
      <c r="DD114" s="236">
        <v>30.407119889599247</v>
      </c>
      <c r="DE114" s="232"/>
      <c r="DF114" s="236">
        <v>36.57392991568679</v>
      </c>
      <c r="DG114" s="232"/>
      <c r="DH114" s="236">
        <v>31.828499924333887</v>
      </c>
      <c r="DI114" s="232"/>
      <c r="DJ114" s="236">
        <v>39.038511588549099</v>
      </c>
      <c r="DK114" s="232"/>
      <c r="DL114" s="267">
        <v>29.607714436706857</v>
      </c>
      <c r="DM114" s="263"/>
      <c r="DN114" s="267">
        <v>30.173977133534599</v>
      </c>
      <c r="DO114" s="263"/>
      <c r="DP114" s="267">
        <v>36.453266004845887</v>
      </c>
      <c r="DQ114" s="263"/>
      <c r="DR114" s="267">
        <v>36.369196376788672</v>
      </c>
      <c r="DS114" s="263"/>
      <c r="DT114" s="267">
        <v>35.36172227335431</v>
      </c>
      <c r="DU114" s="263"/>
      <c r="DV114" s="267">
        <v>37.671115184145712</v>
      </c>
      <c r="DW114" s="263"/>
      <c r="DX114" s="193">
        <v>31.800209165950772</v>
      </c>
      <c r="DY114" s="189"/>
      <c r="DZ114" s="193">
        <v>33.277909833218416</v>
      </c>
      <c r="EA114" s="189"/>
      <c r="EB114" s="193">
        <v>31.754193015160752</v>
      </c>
      <c r="EC114" s="189"/>
      <c r="ED114" s="193">
        <v>35.104641006343769</v>
      </c>
      <c r="EE114" s="189"/>
      <c r="EF114" s="193">
        <v>37.442238255342502</v>
      </c>
      <c r="EG114" s="189"/>
      <c r="EH114" s="193">
        <v>38.536892338350199</v>
      </c>
      <c r="EI114" s="189"/>
    </row>
    <row r="115" spans="1:139" outlineLevel="1" x14ac:dyDescent="0.2">
      <c r="A115"/>
      <c r="B115" s="7"/>
      <c r="E115" s="187"/>
      <c r="G115" s="187"/>
      <c r="I115" s="201"/>
      <c r="K115" s="201"/>
      <c r="M115" s="201"/>
      <c r="O115" s="201"/>
      <c r="Q115" s="215"/>
      <c r="S115" s="215"/>
      <c r="U115" s="215"/>
      <c r="W115" s="215"/>
      <c r="Y115" s="245"/>
      <c r="AA115" s="245"/>
      <c r="AC115" s="245"/>
      <c r="AE115" s="245"/>
      <c r="AG115" s="245"/>
      <c r="AI115" s="245"/>
      <c r="AK115" s="230"/>
      <c r="AM115" s="230"/>
      <c r="AO115" s="230"/>
      <c r="AQ115" s="230"/>
      <c r="AS115" s="230"/>
      <c r="AU115" s="230"/>
      <c r="AW115" s="261"/>
      <c r="AY115" s="261"/>
      <c r="BA115" s="261"/>
      <c r="BC115" s="261"/>
      <c r="BE115" s="261"/>
      <c r="BG115" s="261"/>
      <c r="BI115" s="261"/>
      <c r="BK115" s="261"/>
      <c r="BM115" s="187"/>
      <c r="BO115" s="187"/>
      <c r="BQ115" s="187"/>
      <c r="BS115" s="187"/>
      <c r="BU115" s="201"/>
      <c r="BW115" s="201"/>
      <c r="BY115" s="201"/>
      <c r="CA115" s="201"/>
      <c r="CC115" s="201"/>
      <c r="CE115" s="201"/>
      <c r="CG115" s="201"/>
      <c r="CI115" s="201"/>
      <c r="CK115" s="215"/>
      <c r="CM115" s="215"/>
      <c r="CO115" s="215"/>
      <c r="CQ115" s="215"/>
      <c r="CS115" s="245"/>
      <c r="CU115" s="245"/>
      <c r="CW115" s="245"/>
      <c r="CY115" s="245"/>
      <c r="DA115" s="230"/>
      <c r="DC115" s="230"/>
      <c r="DE115" s="230"/>
      <c r="DG115" s="230"/>
      <c r="DI115" s="230"/>
      <c r="DK115" s="230"/>
      <c r="DM115" s="261"/>
      <c r="DO115" s="261"/>
      <c r="DQ115" s="261"/>
      <c r="DS115" s="261"/>
      <c r="DU115" s="261"/>
      <c r="DW115" s="261"/>
      <c r="DY115" s="187"/>
      <c r="EA115" s="187"/>
      <c r="EC115" s="187"/>
      <c r="EE115" s="187"/>
      <c r="EG115" s="187"/>
      <c r="EI115" s="187"/>
    </row>
    <row r="116" spans="1:139" outlineLevel="1" x14ac:dyDescent="0.2">
      <c r="A116"/>
      <c r="B116" s="7" t="s">
        <v>135</v>
      </c>
      <c r="C116" s="10">
        <v>21.10275552575035</v>
      </c>
      <c r="D116" s="192">
        <v>20.662056340583039</v>
      </c>
      <c r="E116" s="189"/>
      <c r="F116" s="192">
        <v>21.560193801579619</v>
      </c>
      <c r="G116" s="189"/>
      <c r="H116" s="206">
        <v>8.797547064277893</v>
      </c>
      <c r="I116" s="203"/>
      <c r="J116" s="206">
        <v>9.9799401800350864</v>
      </c>
      <c r="K116" s="203"/>
      <c r="L116" s="206">
        <v>40.576056949539115</v>
      </c>
      <c r="M116" s="203"/>
      <c r="N116" s="206">
        <v>40.123708511134588</v>
      </c>
      <c r="O116" s="203"/>
      <c r="P116" s="220">
        <v>8.5690184688627795</v>
      </c>
      <c r="Q116" s="217"/>
      <c r="R116" s="220">
        <v>9.1476312642973951</v>
      </c>
      <c r="S116" s="217"/>
      <c r="T116" s="220">
        <v>46.30816111386865</v>
      </c>
      <c r="U116" s="217"/>
      <c r="V116" s="220">
        <v>48.27865839513386</v>
      </c>
      <c r="W116" s="217"/>
      <c r="X116" s="250">
        <v>22.104579286999215</v>
      </c>
      <c r="Y116" s="247"/>
      <c r="Z116" s="250">
        <v>40.172082372852799</v>
      </c>
      <c r="AA116" s="247"/>
      <c r="AB116" s="250">
        <v>55.619521426435647</v>
      </c>
      <c r="AC116" s="247"/>
      <c r="AD116" s="250">
        <v>27.311282806357109</v>
      </c>
      <c r="AE116" s="247"/>
      <c r="AF116" s="250">
        <v>41.335155793110012</v>
      </c>
      <c r="AG116" s="247"/>
      <c r="AH116" s="250">
        <v>57.485240237674887</v>
      </c>
      <c r="AI116" s="247"/>
      <c r="AJ116" s="235">
        <v>26.658140496256003</v>
      </c>
      <c r="AK116" s="232"/>
      <c r="AL116" s="235">
        <v>46.332846057704622</v>
      </c>
      <c r="AM116" s="232"/>
      <c r="AN116" s="235">
        <v>57.974621695380996</v>
      </c>
      <c r="AO116" s="232"/>
      <c r="AP116" s="235">
        <v>41.990114152444939</v>
      </c>
      <c r="AQ116" s="232"/>
      <c r="AR116" s="235">
        <v>45.749603648366879</v>
      </c>
      <c r="AS116" s="232"/>
      <c r="AT116" s="235">
        <v>62.579111226380292</v>
      </c>
      <c r="AU116" s="232"/>
      <c r="AV116" s="266">
        <v>23.988224519291339</v>
      </c>
      <c r="AW116" s="263"/>
      <c r="AX116" s="266">
        <v>27.556525906801362</v>
      </c>
      <c r="AY116" s="263"/>
      <c r="AZ116" s="266">
        <v>26.548205709382493</v>
      </c>
      <c r="BA116" s="263"/>
      <c r="BB116" s="266">
        <v>22.267121478742631</v>
      </c>
      <c r="BC116" s="263"/>
      <c r="BD116" s="266">
        <v>17.018352106316751</v>
      </c>
      <c r="BE116" s="263"/>
      <c r="BF116" s="266">
        <v>21.646040528689799</v>
      </c>
      <c r="BG116" s="263"/>
      <c r="BH116" s="266">
        <v>7.3634995986721803</v>
      </c>
      <c r="BI116" s="263"/>
      <c r="BJ116" s="266">
        <v>13.037943511166517</v>
      </c>
      <c r="BK116" s="263"/>
      <c r="BL116" s="192">
        <v>20.772349566270822</v>
      </c>
      <c r="BM116" s="189"/>
      <c r="BN116" s="192">
        <v>19.241380030424235</v>
      </c>
      <c r="BO116" s="189"/>
      <c r="BP116" s="192">
        <v>20.555037255563523</v>
      </c>
      <c r="BQ116" s="189"/>
      <c r="BR116" s="192">
        <v>23.830798631809941</v>
      </c>
      <c r="BS116" s="189"/>
      <c r="BT116" s="206">
        <v>16.233972263308406</v>
      </c>
      <c r="BU116" s="203"/>
      <c r="BV116" s="206">
        <v>19.107127362909772</v>
      </c>
      <c r="BW116" s="203"/>
      <c r="BX116" s="206">
        <v>23.164178375187426</v>
      </c>
      <c r="BY116" s="203"/>
      <c r="BZ116" s="206">
        <v>23.801557437590549</v>
      </c>
      <c r="CA116" s="203"/>
      <c r="CB116" s="206">
        <v>23.638916737619084</v>
      </c>
      <c r="CC116" s="203"/>
      <c r="CD116" s="206">
        <v>23.170915645808041</v>
      </c>
      <c r="CE116" s="203"/>
      <c r="CF116" s="206">
        <v>17.489023409854539</v>
      </c>
      <c r="CG116" s="203"/>
      <c r="CH116" s="206">
        <v>18.354995444737241</v>
      </c>
      <c r="CI116" s="203"/>
      <c r="CJ116" s="220">
        <v>25.691787059996905</v>
      </c>
      <c r="CK116" s="217"/>
      <c r="CL116" s="220">
        <v>25.477073008468956</v>
      </c>
      <c r="CM116" s="217"/>
      <c r="CN116" s="220">
        <v>15.973246276318259</v>
      </c>
      <c r="CO116" s="217"/>
      <c r="CP116" s="220">
        <v>16.322984436036275</v>
      </c>
      <c r="CQ116" s="217"/>
      <c r="CR116" s="250">
        <v>28.342415359897988</v>
      </c>
      <c r="CS116" s="247"/>
      <c r="CT116" s="250">
        <v>34.702731045499739</v>
      </c>
      <c r="CU116" s="247"/>
      <c r="CV116" s="250">
        <v>17.37178572270383</v>
      </c>
      <c r="CW116" s="247"/>
      <c r="CX116" s="250">
        <v>15.53257431331409</v>
      </c>
      <c r="CY116" s="247"/>
      <c r="CZ116" s="235">
        <v>18.851879930732562</v>
      </c>
      <c r="DA116" s="232"/>
      <c r="DB116" s="235">
        <v>20.435515287571892</v>
      </c>
      <c r="DC116" s="232"/>
      <c r="DD116" s="235">
        <v>28.580576453547103</v>
      </c>
      <c r="DE116" s="232"/>
      <c r="DF116" s="235">
        <v>30.179594803185832</v>
      </c>
      <c r="DG116" s="232"/>
      <c r="DH116" s="235">
        <v>24.87601757587111</v>
      </c>
      <c r="DI116" s="232"/>
      <c r="DJ116" s="235">
        <v>19.678613131879679</v>
      </c>
      <c r="DK116" s="232"/>
      <c r="DL116" s="266">
        <v>9.5188794544379576</v>
      </c>
      <c r="DM116" s="263"/>
      <c r="DN116" s="266">
        <v>11.852398775629039</v>
      </c>
      <c r="DO116" s="263"/>
      <c r="DP116" s="266">
        <v>29.919055858140744</v>
      </c>
      <c r="DQ116" s="263"/>
      <c r="DR116" s="266">
        <v>29.663021662642048</v>
      </c>
      <c r="DS116" s="263"/>
      <c r="DT116" s="266">
        <v>26.018132436301496</v>
      </c>
      <c r="DU116" s="263"/>
      <c r="DV116" s="266">
        <v>26.632692159562009</v>
      </c>
      <c r="DW116" s="263"/>
      <c r="DX116" s="192">
        <v>19.762223135248199</v>
      </c>
      <c r="DY116" s="189"/>
      <c r="DZ116" s="192">
        <v>16.100327858617742</v>
      </c>
      <c r="EA116" s="189"/>
      <c r="EB116" s="192">
        <v>17.047940522822579</v>
      </c>
      <c r="EC116" s="189"/>
      <c r="ED116" s="192">
        <v>21.90931460644434</v>
      </c>
      <c r="EE116" s="189"/>
      <c r="EF116" s="192">
        <v>31.294200154853044</v>
      </c>
      <c r="EG116" s="189"/>
      <c r="EH116" s="192">
        <v>29.379621375006554</v>
      </c>
      <c r="EI116" s="189"/>
    </row>
    <row r="117" spans="1:139" outlineLevel="1" x14ac:dyDescent="0.2">
      <c r="A117"/>
      <c r="B117" s="11" t="s">
        <v>136</v>
      </c>
      <c r="C117" s="12">
        <v>11.822048292608411</v>
      </c>
      <c r="D117" s="193">
        <v>11.331269997600009</v>
      </c>
      <c r="E117" s="189"/>
      <c r="F117" s="193">
        <v>12.331467834643288</v>
      </c>
      <c r="G117" s="189"/>
      <c r="H117" s="207">
        <v>5.9277335028873184</v>
      </c>
      <c r="I117" s="203"/>
      <c r="J117" s="207">
        <v>8.2006968039869026</v>
      </c>
      <c r="K117" s="203"/>
      <c r="L117" s="207">
        <v>20.400842665146158</v>
      </c>
      <c r="M117" s="203"/>
      <c r="N117" s="207">
        <v>18.953225120401751</v>
      </c>
      <c r="O117" s="203"/>
      <c r="P117" s="221">
        <v>5.7704939691816461</v>
      </c>
      <c r="Q117" s="217"/>
      <c r="R117" s="221">
        <v>7.5428798351754223</v>
      </c>
      <c r="S117" s="217"/>
      <c r="T117" s="221">
        <v>23.124191359327742</v>
      </c>
      <c r="U117" s="217"/>
      <c r="V117" s="221">
        <v>22.639066973226527</v>
      </c>
      <c r="W117" s="217"/>
      <c r="X117" s="251">
        <v>12.816248546715554</v>
      </c>
      <c r="Y117" s="247"/>
      <c r="Z117" s="251">
        <v>24.931936711672041</v>
      </c>
      <c r="AA117" s="247"/>
      <c r="AB117" s="251">
        <v>25.47989156948838</v>
      </c>
      <c r="AC117" s="247"/>
      <c r="AD117" s="251">
        <v>14.738232213603727</v>
      </c>
      <c r="AE117" s="247"/>
      <c r="AF117" s="251">
        <v>21.434756393343037</v>
      </c>
      <c r="AG117" s="247"/>
      <c r="AH117" s="251">
        <v>24.92397061336067</v>
      </c>
      <c r="AI117" s="247"/>
      <c r="AJ117" s="236">
        <v>14.451623965350397</v>
      </c>
      <c r="AK117" s="232"/>
      <c r="AL117" s="236">
        <v>28.755481850822996</v>
      </c>
      <c r="AM117" s="232"/>
      <c r="AN117" s="236">
        <v>27.045726468064135</v>
      </c>
      <c r="AO117" s="232"/>
      <c r="AP117" s="236">
        <v>22.659501475720241</v>
      </c>
      <c r="AQ117" s="232"/>
      <c r="AR117" s="236">
        <v>23.13585942299445</v>
      </c>
      <c r="AS117" s="232"/>
      <c r="AT117" s="236">
        <v>27.132528676366501</v>
      </c>
      <c r="AU117" s="232"/>
      <c r="AV117" s="267">
        <v>14.524335411516624</v>
      </c>
      <c r="AW117" s="263"/>
      <c r="AX117" s="267">
        <v>16.90346454578339</v>
      </c>
      <c r="AY117" s="263"/>
      <c r="AZ117" s="267">
        <v>13.795969416840487</v>
      </c>
      <c r="BA117" s="263"/>
      <c r="BB117" s="267">
        <v>12.517371981479119</v>
      </c>
      <c r="BC117" s="263"/>
      <c r="BD117" s="267">
        <v>11.66988317996625</v>
      </c>
      <c r="BE117" s="263"/>
      <c r="BF117" s="267">
        <v>12.778964092037013</v>
      </c>
      <c r="BG117" s="263"/>
      <c r="BH117" s="267">
        <v>2.4422517126081189</v>
      </c>
      <c r="BI117" s="263"/>
      <c r="BJ117" s="267">
        <v>6.297007069194076</v>
      </c>
      <c r="BK117" s="263" t="s">
        <v>177</v>
      </c>
      <c r="BL117" s="193">
        <v>12.066479636146374</v>
      </c>
      <c r="BM117" s="189"/>
      <c r="BN117" s="193">
        <v>11.217823940452195</v>
      </c>
      <c r="BO117" s="189"/>
      <c r="BP117" s="193">
        <v>10.617885632203921</v>
      </c>
      <c r="BQ117" s="189"/>
      <c r="BR117" s="193">
        <v>13.421958686802951</v>
      </c>
      <c r="BS117" s="189"/>
      <c r="BT117" s="207">
        <v>8.3076179257447738</v>
      </c>
      <c r="BU117" s="203"/>
      <c r="BV117" s="207">
        <v>12.327494269487312</v>
      </c>
      <c r="BW117" s="203"/>
      <c r="BX117" s="207">
        <v>14.153461023395451</v>
      </c>
      <c r="BY117" s="203"/>
      <c r="BZ117" s="207">
        <v>13.96693504299137</v>
      </c>
      <c r="CA117" s="203"/>
      <c r="CB117" s="207">
        <v>12.72420851509971</v>
      </c>
      <c r="CC117" s="203"/>
      <c r="CD117" s="207">
        <v>10.96107861531104</v>
      </c>
      <c r="CE117" s="203"/>
      <c r="CF117" s="207">
        <v>8.0204575697817972</v>
      </c>
      <c r="CG117" s="203"/>
      <c r="CH117" s="207">
        <v>11.089531444280036</v>
      </c>
      <c r="CI117" s="203"/>
      <c r="CJ117" s="221">
        <v>14.504894599543221</v>
      </c>
      <c r="CK117" s="217"/>
      <c r="CL117" s="221">
        <v>13.992321802918376</v>
      </c>
      <c r="CM117" s="217"/>
      <c r="CN117" s="221">
        <v>8.5431540353107494</v>
      </c>
      <c r="CO117" s="217"/>
      <c r="CP117" s="221">
        <v>10.43648386252228</v>
      </c>
      <c r="CQ117" s="217"/>
      <c r="CR117" s="251">
        <v>16.176644872780063</v>
      </c>
      <c r="CS117" s="247"/>
      <c r="CT117" s="251">
        <v>20.927135348593005</v>
      </c>
      <c r="CU117" s="247"/>
      <c r="CV117" s="251">
        <v>9.2081580170047612</v>
      </c>
      <c r="CW117" s="247"/>
      <c r="CX117" s="251">
        <v>8.5540683848331902</v>
      </c>
      <c r="CY117" s="247"/>
      <c r="CZ117" s="236">
        <v>8.7699094666926509</v>
      </c>
      <c r="DA117" s="232"/>
      <c r="DB117" s="236">
        <v>10.90057781132146</v>
      </c>
      <c r="DC117" s="232"/>
      <c r="DD117" s="236">
        <v>22.003581860581384</v>
      </c>
      <c r="DE117" s="232"/>
      <c r="DF117" s="236">
        <v>20.957216630605462</v>
      </c>
      <c r="DG117" s="232"/>
      <c r="DH117" s="236">
        <v>14.149029573783125</v>
      </c>
      <c r="DI117" s="232"/>
      <c r="DJ117" s="236">
        <v>10.661284239211369</v>
      </c>
      <c r="DK117" s="232"/>
      <c r="DL117" s="267">
        <v>6.2808291360103796</v>
      </c>
      <c r="DM117" s="263"/>
      <c r="DN117" s="267">
        <v>7.1444983305224561</v>
      </c>
      <c r="DO117" s="263"/>
      <c r="DP117" s="267">
        <v>14.902458723133057</v>
      </c>
      <c r="DQ117" s="263"/>
      <c r="DR117" s="267">
        <v>14.944516500936734</v>
      </c>
      <c r="DS117" s="263"/>
      <c r="DT117" s="267">
        <v>15.520794414727083</v>
      </c>
      <c r="DU117" s="263"/>
      <c r="DV117" s="267">
        <v>17.614667664735705</v>
      </c>
      <c r="DW117" s="263"/>
      <c r="DX117" s="193">
        <v>11.89179397153849</v>
      </c>
      <c r="DY117" s="189"/>
      <c r="DZ117" s="193">
        <v>10.683790110501178</v>
      </c>
      <c r="EA117" s="189"/>
      <c r="EB117" s="193">
        <v>9.2287446259108972</v>
      </c>
      <c r="EC117" s="189"/>
      <c r="ED117" s="193">
        <v>14.313585917555512</v>
      </c>
      <c r="EE117" s="189" t="s">
        <v>236</v>
      </c>
      <c r="EF117" s="193">
        <v>16.056469541794979</v>
      </c>
      <c r="EG117" s="189"/>
      <c r="EH117" s="193">
        <v>11.004581448233449</v>
      </c>
      <c r="EI117" s="189"/>
    </row>
    <row r="118" spans="1:139" outlineLevel="1" x14ac:dyDescent="0.2">
      <c r="A118"/>
      <c r="B118" s="11" t="s">
        <v>137</v>
      </c>
      <c r="C118" s="12">
        <v>9.2807072331419374</v>
      </c>
      <c r="D118" s="193">
        <v>9.330786342983032</v>
      </c>
      <c r="E118" s="189"/>
      <c r="F118" s="193">
        <v>9.2287259669363326</v>
      </c>
      <c r="G118" s="189"/>
      <c r="H118" s="207">
        <v>2.8698135613905742</v>
      </c>
      <c r="I118" s="203"/>
      <c r="J118" s="207">
        <v>1.7792433760481847</v>
      </c>
      <c r="K118" s="203"/>
      <c r="L118" s="207">
        <v>20.175214284392958</v>
      </c>
      <c r="M118" s="203"/>
      <c r="N118" s="207">
        <v>21.170483390732837</v>
      </c>
      <c r="O118" s="203"/>
      <c r="P118" s="221">
        <v>2.7985244996811334</v>
      </c>
      <c r="Q118" s="217"/>
      <c r="R118" s="221">
        <v>1.6047514291219731</v>
      </c>
      <c r="S118" s="217"/>
      <c r="T118" s="221">
        <v>23.183969754540907</v>
      </c>
      <c r="U118" s="217"/>
      <c r="V118" s="221">
        <v>25.63959142190733</v>
      </c>
      <c r="W118" s="217"/>
      <c r="X118" s="251">
        <v>9.2883307402836603</v>
      </c>
      <c r="Y118" s="247"/>
      <c r="Z118" s="251">
        <v>15.24014566118076</v>
      </c>
      <c r="AA118" s="247"/>
      <c r="AB118" s="251">
        <v>30.139629856947266</v>
      </c>
      <c r="AC118" s="247"/>
      <c r="AD118" s="251">
        <v>12.573050592753381</v>
      </c>
      <c r="AE118" s="247"/>
      <c r="AF118" s="251">
        <v>19.900399399766979</v>
      </c>
      <c r="AG118" s="247"/>
      <c r="AH118" s="251">
        <v>32.561269624314221</v>
      </c>
      <c r="AI118" s="247"/>
      <c r="AJ118" s="236">
        <v>12.206516530905608</v>
      </c>
      <c r="AK118" s="232"/>
      <c r="AL118" s="236">
        <v>17.577364206881629</v>
      </c>
      <c r="AM118" s="232"/>
      <c r="AN118" s="236">
        <v>30.928895227316861</v>
      </c>
      <c r="AO118" s="232"/>
      <c r="AP118" s="236">
        <v>19.330612676724694</v>
      </c>
      <c r="AQ118" s="232"/>
      <c r="AR118" s="236">
        <v>22.613744225372429</v>
      </c>
      <c r="AS118" s="232"/>
      <c r="AT118" s="236">
        <v>35.446582550013794</v>
      </c>
      <c r="AU118" s="232"/>
      <c r="AV118" s="267">
        <v>9.4638891077747154</v>
      </c>
      <c r="AW118" s="263"/>
      <c r="AX118" s="267">
        <v>10.65306136101797</v>
      </c>
      <c r="AY118" s="263"/>
      <c r="AZ118" s="267">
        <v>12.752236292542005</v>
      </c>
      <c r="BA118" s="263"/>
      <c r="BB118" s="267">
        <v>9.7497494972635117</v>
      </c>
      <c r="BC118" s="263"/>
      <c r="BD118" s="267">
        <v>5.3484689263505025</v>
      </c>
      <c r="BE118" s="263"/>
      <c r="BF118" s="267">
        <v>8.8670764366527841</v>
      </c>
      <c r="BG118" s="263"/>
      <c r="BH118" s="267">
        <v>4.9212478860640614</v>
      </c>
      <c r="BI118" s="263"/>
      <c r="BJ118" s="267">
        <v>6.7409364419724414</v>
      </c>
      <c r="BK118" s="263"/>
      <c r="BL118" s="193">
        <v>8.7058699301244467</v>
      </c>
      <c r="BM118" s="189"/>
      <c r="BN118" s="193">
        <v>8.0235560899720415</v>
      </c>
      <c r="BO118" s="189"/>
      <c r="BP118" s="193">
        <v>9.9371516233596004</v>
      </c>
      <c r="BQ118" s="189"/>
      <c r="BR118" s="193">
        <v>10.40883994500699</v>
      </c>
      <c r="BS118" s="189"/>
      <c r="BT118" s="207">
        <v>7.9263543375636329</v>
      </c>
      <c r="BU118" s="203"/>
      <c r="BV118" s="207">
        <v>6.7796330934224587</v>
      </c>
      <c r="BW118" s="203"/>
      <c r="BX118" s="207">
        <v>9.010717351791973</v>
      </c>
      <c r="BY118" s="203"/>
      <c r="BZ118" s="207">
        <v>9.8346223945991778</v>
      </c>
      <c r="CA118" s="203"/>
      <c r="CB118" s="207">
        <v>10.914708222519376</v>
      </c>
      <c r="CC118" s="203"/>
      <c r="CD118" s="207">
        <v>12.209837030497001</v>
      </c>
      <c r="CE118" s="203"/>
      <c r="CF118" s="207">
        <v>9.4685658400727419</v>
      </c>
      <c r="CG118" s="203"/>
      <c r="CH118" s="207">
        <v>7.2654640004572073</v>
      </c>
      <c r="CI118" s="203"/>
      <c r="CJ118" s="221">
        <v>11.186892460453683</v>
      </c>
      <c r="CK118" s="217"/>
      <c r="CL118" s="221">
        <v>11.48475120555058</v>
      </c>
      <c r="CM118" s="217"/>
      <c r="CN118" s="221">
        <v>7.4300922410075092</v>
      </c>
      <c r="CO118" s="217"/>
      <c r="CP118" s="221">
        <v>5.8865005735139944</v>
      </c>
      <c r="CQ118" s="217"/>
      <c r="CR118" s="251">
        <v>12.165770487117927</v>
      </c>
      <c r="CS118" s="247"/>
      <c r="CT118" s="251">
        <v>13.775595696906734</v>
      </c>
      <c r="CU118" s="247"/>
      <c r="CV118" s="251">
        <v>8.1636277056990689</v>
      </c>
      <c r="CW118" s="247"/>
      <c r="CX118" s="251">
        <v>6.9785059284808995</v>
      </c>
      <c r="CY118" s="247"/>
      <c r="CZ118" s="236">
        <v>10.081970464039911</v>
      </c>
      <c r="DA118" s="232"/>
      <c r="DB118" s="236">
        <v>9.5349374762504322</v>
      </c>
      <c r="DC118" s="232"/>
      <c r="DD118" s="236">
        <v>6.5769945929657192</v>
      </c>
      <c r="DE118" s="232"/>
      <c r="DF118" s="236">
        <v>9.2223781725803704</v>
      </c>
      <c r="DG118" s="232"/>
      <c r="DH118" s="236">
        <v>10.726988002087984</v>
      </c>
      <c r="DI118" s="232"/>
      <c r="DJ118" s="236">
        <v>9.0173288926683099</v>
      </c>
      <c r="DK118" s="232"/>
      <c r="DL118" s="267">
        <v>3.2380503184275771</v>
      </c>
      <c r="DM118" s="263"/>
      <c r="DN118" s="267">
        <v>4.7079004451065822</v>
      </c>
      <c r="DO118" s="263"/>
      <c r="DP118" s="267">
        <v>15.016597135007689</v>
      </c>
      <c r="DQ118" s="263"/>
      <c r="DR118" s="267">
        <v>14.718505161705314</v>
      </c>
      <c r="DS118" s="263"/>
      <c r="DT118" s="267">
        <v>10.497338021574414</v>
      </c>
      <c r="DU118" s="263"/>
      <c r="DV118" s="267">
        <v>9.0180244948263031</v>
      </c>
      <c r="DW118" s="263"/>
      <c r="DX118" s="193">
        <v>7.8704291637097077</v>
      </c>
      <c r="DY118" s="189"/>
      <c r="DZ118" s="193">
        <v>5.4165377481165651</v>
      </c>
      <c r="EA118" s="189"/>
      <c r="EB118" s="193">
        <v>7.8191958969116824</v>
      </c>
      <c r="EC118" s="189"/>
      <c r="ED118" s="193">
        <v>7.5957286888888298</v>
      </c>
      <c r="EE118" s="189"/>
      <c r="EF118" s="193">
        <v>15.237730613058066</v>
      </c>
      <c r="EG118" s="189"/>
      <c r="EH118" s="193">
        <v>18.375039926773105</v>
      </c>
      <c r="EI118" s="189"/>
    </row>
    <row r="119" spans="1:139" outlineLevel="1" x14ac:dyDescent="0.2">
      <c r="A119"/>
      <c r="B119" s="7"/>
      <c r="E119" s="187"/>
      <c r="G119" s="187"/>
      <c r="I119" s="201"/>
      <c r="K119" s="201"/>
      <c r="M119" s="201"/>
      <c r="O119" s="201"/>
      <c r="Q119" s="215"/>
      <c r="S119" s="215"/>
      <c r="U119" s="215"/>
      <c r="W119" s="215"/>
      <c r="Y119" s="245"/>
      <c r="AA119" s="245"/>
      <c r="AC119" s="245"/>
      <c r="AE119" s="245"/>
      <c r="AG119" s="245"/>
      <c r="AI119" s="245"/>
      <c r="AK119" s="230"/>
      <c r="AM119" s="230"/>
      <c r="AO119" s="230"/>
      <c r="AQ119" s="230"/>
      <c r="AS119" s="230"/>
      <c r="AU119" s="230"/>
      <c r="AW119" s="261"/>
      <c r="AY119" s="261"/>
      <c r="BA119" s="261"/>
      <c r="BC119" s="261"/>
      <c r="BE119" s="261"/>
      <c r="BG119" s="261"/>
      <c r="BI119" s="261"/>
      <c r="BK119" s="261"/>
      <c r="BM119" s="187"/>
      <c r="BO119" s="187"/>
      <c r="BQ119" s="187"/>
      <c r="BS119" s="187"/>
      <c r="BU119" s="201"/>
      <c r="BW119" s="201"/>
      <c r="BY119" s="201"/>
      <c r="CA119" s="201"/>
      <c r="CC119" s="201"/>
      <c r="CE119" s="201"/>
      <c r="CG119" s="201"/>
      <c r="CI119" s="201"/>
      <c r="CK119" s="215"/>
      <c r="CM119" s="215"/>
      <c r="CO119" s="215"/>
      <c r="CQ119" s="215"/>
      <c r="CS119" s="245"/>
      <c r="CU119" s="245"/>
      <c r="CW119" s="245"/>
      <c r="CY119" s="245"/>
      <c r="DA119" s="230"/>
      <c r="DC119" s="230"/>
      <c r="DE119" s="230"/>
      <c r="DG119" s="230"/>
      <c r="DI119" s="230"/>
      <c r="DK119" s="230"/>
      <c r="DM119" s="261"/>
      <c r="DO119" s="261"/>
      <c r="DQ119" s="261"/>
      <c r="DS119" s="261"/>
      <c r="DU119" s="261"/>
      <c r="DW119" s="261"/>
      <c r="DY119" s="187"/>
      <c r="EA119" s="187"/>
      <c r="EC119" s="187"/>
      <c r="EE119" s="187"/>
      <c r="EG119" s="187"/>
      <c r="EI119" s="187"/>
    </row>
    <row r="120" spans="1:139" x14ac:dyDescent="0.2">
      <c r="A120"/>
      <c r="B120"/>
      <c r="E120" s="187"/>
      <c r="G120" s="187"/>
      <c r="I120" s="201"/>
      <c r="K120" s="201"/>
      <c r="M120" s="201"/>
      <c r="O120" s="201"/>
      <c r="Q120" s="215"/>
      <c r="S120" s="215"/>
      <c r="U120" s="215"/>
      <c r="W120" s="215"/>
      <c r="Y120" s="245"/>
      <c r="AA120" s="245"/>
      <c r="AC120" s="245"/>
      <c r="AE120" s="245"/>
      <c r="AG120" s="245"/>
      <c r="AI120" s="245"/>
      <c r="AK120" s="230"/>
      <c r="AM120" s="230"/>
      <c r="AO120" s="230"/>
      <c r="AQ120" s="230"/>
      <c r="AS120" s="230"/>
      <c r="AU120" s="230"/>
      <c r="AW120" s="261"/>
      <c r="AY120" s="261"/>
      <c r="BA120" s="261"/>
      <c r="BC120" s="261"/>
      <c r="BE120" s="261"/>
      <c r="BG120" s="261"/>
      <c r="BI120" s="261"/>
      <c r="BK120" s="261"/>
      <c r="BM120" s="187"/>
      <c r="BO120" s="187"/>
      <c r="BQ120" s="187"/>
      <c r="BS120" s="187"/>
      <c r="BU120" s="201"/>
      <c r="BW120" s="201"/>
      <c r="BY120" s="201"/>
      <c r="CA120" s="201"/>
      <c r="CC120" s="201"/>
      <c r="CE120" s="201"/>
      <c r="CG120" s="201"/>
      <c r="CI120" s="201"/>
      <c r="CK120" s="215"/>
      <c r="CM120" s="215"/>
      <c r="CO120" s="215"/>
      <c r="CQ120" s="215"/>
      <c r="CS120" s="245"/>
      <c r="CU120" s="245"/>
      <c r="CW120" s="245"/>
      <c r="CY120" s="245"/>
      <c r="DA120" s="230"/>
      <c r="DC120" s="230"/>
      <c r="DE120" s="230"/>
      <c r="DG120" s="230"/>
      <c r="DI120" s="230"/>
      <c r="DK120" s="230"/>
      <c r="DM120" s="261"/>
      <c r="DO120" s="261"/>
      <c r="DQ120" s="261"/>
      <c r="DS120" s="261"/>
      <c r="DU120" s="261"/>
      <c r="DW120" s="261"/>
      <c r="DY120" s="187"/>
      <c r="EA120" s="187"/>
      <c r="EC120" s="187"/>
      <c r="EE120" s="187"/>
      <c r="EG120" s="187"/>
      <c r="EI120" s="187"/>
    </row>
    <row r="121" spans="1:139" x14ac:dyDescent="0.2">
      <c r="A121" s="6" t="s">
        <v>144</v>
      </c>
      <c r="B121" s="7" t="s">
        <v>145</v>
      </c>
      <c r="E121" s="187"/>
      <c r="G121" s="187"/>
      <c r="I121" s="201"/>
      <c r="K121" s="201"/>
      <c r="M121" s="201"/>
      <c r="O121" s="201"/>
      <c r="Q121" s="215"/>
      <c r="S121" s="215"/>
      <c r="U121" s="215"/>
      <c r="W121" s="215"/>
      <c r="Y121" s="245"/>
      <c r="AA121" s="245"/>
      <c r="AC121" s="245"/>
      <c r="AE121" s="245"/>
      <c r="AG121" s="245"/>
      <c r="AI121" s="245"/>
      <c r="AK121" s="230"/>
      <c r="AM121" s="230"/>
      <c r="AO121" s="230"/>
      <c r="AQ121" s="230"/>
      <c r="AS121" s="230"/>
      <c r="AU121" s="230"/>
      <c r="AW121" s="261"/>
      <c r="AY121" s="261"/>
      <c r="BA121" s="261"/>
      <c r="BC121" s="261"/>
      <c r="BE121" s="261"/>
      <c r="BG121" s="261"/>
      <c r="BI121" s="261"/>
      <c r="BK121" s="261"/>
      <c r="BM121" s="187"/>
      <c r="BO121" s="187"/>
      <c r="BQ121" s="187"/>
      <c r="BS121" s="187"/>
      <c r="BU121" s="201"/>
      <c r="BW121" s="201"/>
      <c r="BY121" s="201"/>
      <c r="CA121" s="201"/>
      <c r="CC121" s="201"/>
      <c r="CE121" s="201"/>
      <c r="CG121" s="201"/>
      <c r="CI121" s="201"/>
      <c r="CK121" s="215"/>
      <c r="CM121" s="215"/>
      <c r="CO121" s="215"/>
      <c r="CQ121" s="215"/>
      <c r="CS121" s="245"/>
      <c r="CU121" s="245"/>
      <c r="CW121" s="245"/>
      <c r="CY121" s="245"/>
      <c r="DA121" s="230"/>
      <c r="DC121" s="230"/>
      <c r="DE121" s="230"/>
      <c r="DG121" s="230"/>
      <c r="DI121" s="230"/>
      <c r="DK121" s="230"/>
      <c r="DM121" s="261"/>
      <c r="DO121" s="261"/>
      <c r="DQ121" s="261"/>
      <c r="DS121" s="261"/>
      <c r="DU121" s="261"/>
      <c r="DW121" s="261"/>
      <c r="DY121" s="187"/>
      <c r="EA121" s="187"/>
      <c r="EC121" s="187"/>
      <c r="EE121" s="187"/>
      <c r="EG121" s="187"/>
      <c r="EI121" s="187"/>
    </row>
    <row r="122" spans="1:139" outlineLevel="1" x14ac:dyDescent="0.2">
      <c r="A122"/>
      <c r="B122" s="9" t="s">
        <v>63</v>
      </c>
      <c r="C122" s="8">
        <f>697.229271339924+34.7707286600755</f>
        <v>731.99999999999955</v>
      </c>
      <c r="D122" s="188">
        <f>352.928444129701+12.0715558702993</f>
        <v>365.00000000000028</v>
      </c>
      <c r="E122" s="189"/>
      <c r="F122" s="188">
        <f>344.344915978557+22.6550840214431</f>
        <v>367.00000000000011</v>
      </c>
      <c r="G122" s="189"/>
      <c r="H122" s="202">
        <f>0+0</f>
        <v>0</v>
      </c>
      <c r="I122" s="203"/>
      <c r="J122" s="202">
        <f>0+0</f>
        <v>0</v>
      </c>
      <c r="K122" s="203"/>
      <c r="L122" s="202">
        <f>352.928444129701+12.0715558702993</f>
        <v>365.00000000000028</v>
      </c>
      <c r="M122" s="203"/>
      <c r="N122" s="202">
        <f>344.344915978557+22.6550840214431</f>
        <v>367.00000000000011</v>
      </c>
      <c r="O122" s="203"/>
      <c r="P122" s="216">
        <f>51.2287166666667+1.77128333333333</f>
        <v>53.000000000000028</v>
      </c>
      <c r="Q122" s="217"/>
      <c r="R122" s="216">
        <f>57.3559380528055+4.64406194719454</f>
        <v>62.000000000000043</v>
      </c>
      <c r="S122" s="217"/>
      <c r="T122" s="216">
        <f>301.732918900987+10.2670810990132</f>
        <v>312.00000000000017</v>
      </c>
      <c r="U122" s="217"/>
      <c r="V122" s="216">
        <f>287.140440951688+17.8595590483123</f>
        <v>305.00000000000028</v>
      </c>
      <c r="W122" s="217"/>
      <c r="X122" s="246">
        <f>108.171904333963+4.82809566603692</f>
        <v>112.99999999999991</v>
      </c>
      <c r="Y122" s="247"/>
      <c r="Z122" s="246">
        <f>100.435584999034+3.56441500096641</f>
        <v>104.00000000000041</v>
      </c>
      <c r="AA122" s="247"/>
      <c r="AB122" s="246">
        <f>97.1245187341028+1.87548126589725</f>
        <v>99.000000000000043</v>
      </c>
      <c r="AC122" s="247"/>
      <c r="AD122" s="246">
        <f>89.7922517565178+7.20774824348219</f>
        <v>96.999999999999986</v>
      </c>
      <c r="AE122" s="247"/>
      <c r="AF122" s="246">
        <f>83.2058580005259+5.79414199947415</f>
        <v>89.000000000000043</v>
      </c>
      <c r="AG122" s="247"/>
      <c r="AH122" s="246">
        <f>105.139139086837+4.86086091316319</f>
        <v>110.0000000000002</v>
      </c>
      <c r="AI122" s="247"/>
      <c r="AJ122" s="231">
        <f>81.347414494191+3.65258550580896</f>
        <v>84.999999999999957</v>
      </c>
      <c r="AK122" s="232"/>
      <c r="AL122" s="231">
        <f>86.7773955885698+3.22260441143024</f>
        <v>90.000000000000043</v>
      </c>
      <c r="AM122" s="232"/>
      <c r="AN122" s="231">
        <f>91.2486792832434+1.75132071675662</f>
        <v>93.000000000000028</v>
      </c>
      <c r="AO122" s="232"/>
      <c r="AP122" s="231">
        <f>61.5558959595598+3.44410404044016</f>
        <v>64.999999999999957</v>
      </c>
      <c r="AQ122" s="232"/>
      <c r="AR122" s="231">
        <f>72.5600476663241+5.43995233367595</f>
        <v>78.000000000000043</v>
      </c>
      <c r="AS122" s="232"/>
      <c r="AT122" s="231">
        <f>96.2370441283936+4.76295587160638</f>
        <v>100.99999999999999</v>
      </c>
      <c r="AU122" s="232"/>
      <c r="AV122" s="262">
        <f>98.2175316697926+3.78246833020738</f>
        <v>101.99999999999999</v>
      </c>
      <c r="AW122" s="263"/>
      <c r="AX122" s="262">
        <f>111.212121090461+3.78787890953862</f>
        <v>114.99999999999962</v>
      </c>
      <c r="AY122" s="263"/>
      <c r="AZ122" s="262">
        <f>182.625386094129+5.37461390587058</f>
        <v>187.99999999999957</v>
      </c>
      <c r="BA122" s="263"/>
      <c r="BB122" s="262">
        <f>143.59437549496+11.40562450504</f>
        <v>155</v>
      </c>
      <c r="BC122" s="263"/>
      <c r="BD122" s="262">
        <f>55.0827909055902+1.91720909440984</f>
        <v>57.000000000000043</v>
      </c>
      <c r="BE122" s="263"/>
      <c r="BF122" s="262">
        <f>59.9466521560026+2.05334784399742</f>
        <v>62.000000000000021</v>
      </c>
      <c r="BG122" s="263"/>
      <c r="BH122" s="262">
        <f>17.5618602154537+0.438139784546276</f>
        <v>17.999999999999975</v>
      </c>
      <c r="BI122" s="263"/>
      <c r="BJ122" s="262">
        <f>34.1214868355246+0.878513164475386</f>
        <v>34.999999999999986</v>
      </c>
      <c r="BK122" s="263"/>
      <c r="BL122" s="188">
        <f>145.963130282248+5.03686971775213</f>
        <v>151.00000000000011</v>
      </c>
      <c r="BM122" s="189"/>
      <c r="BN122" s="188">
        <f>139.732424098933+6.26757590106735</f>
        <v>146.00000000000034</v>
      </c>
      <c r="BO122" s="189"/>
      <c r="BP122" s="188">
        <f>207.320535567104+6.67946443289588</f>
        <v>213.99999999999989</v>
      </c>
      <c r="BQ122" s="189"/>
      <c r="BR122" s="188">
        <f>204.620555649693+16.3794443503072</f>
        <v>221.0000000000002</v>
      </c>
      <c r="BS122" s="189"/>
      <c r="BT122" s="202">
        <f>57.0726180104669+1.92738198953312</f>
        <v>59.000000000000014</v>
      </c>
      <c r="BU122" s="203"/>
      <c r="BV122" s="202">
        <f>57.2321873773515+1.76781262264853</f>
        <v>59.000000000000028</v>
      </c>
      <c r="BW122" s="203"/>
      <c r="BX122" s="202">
        <f>158.934215900058+5.06578409994151</f>
        <v>163.99999999999952</v>
      </c>
      <c r="BY122" s="203"/>
      <c r="BZ122" s="202">
        <f>162.542313829788+2.4576861702119</f>
        <v>164.99999999999989</v>
      </c>
      <c r="CA122" s="203"/>
      <c r="CB122" s="202">
        <f>84.899031226348+2.10096877365201</f>
        <v>87.000000000000014</v>
      </c>
      <c r="CC122" s="203"/>
      <c r="CD122" s="202">
        <f>69.2642492563552+2.73575074364484</f>
        <v>72.000000000000043</v>
      </c>
      <c r="CE122" s="203"/>
      <c r="CF122" s="202">
        <f>52.9587192079324+2.0412807920676</f>
        <v>55</v>
      </c>
      <c r="CG122" s="203"/>
      <c r="CH122" s="202">
        <f>64.5599145867224+6.44008541327759</f>
        <v>70.999999999999986</v>
      </c>
      <c r="CI122" s="203"/>
      <c r="CJ122" s="216">
        <f>216.997200855537+7.00279914446281</f>
        <v>223.9999999999998</v>
      </c>
      <c r="CK122" s="217"/>
      <c r="CL122" s="216">
        <f>220.569122335491+12.4308776645093</f>
        <v>233.00000000000028</v>
      </c>
      <c r="CM122" s="217"/>
      <c r="CN122" s="216">
        <f>118.765198290158+4.23480170984192</f>
        <v>122.99999999999991</v>
      </c>
      <c r="CO122" s="217"/>
      <c r="CP122" s="216">
        <f>106.248987327734+8.75101267226572</f>
        <v>114.99999999999972</v>
      </c>
      <c r="CQ122" s="217"/>
      <c r="CR122" s="246">
        <f>147.7075118435+4.29248815650027</f>
        <v>152.00000000000026</v>
      </c>
      <c r="CS122" s="247"/>
      <c r="CT122" s="246">
        <f>158.540933933221+5.45906606677949</f>
        <v>164.00000000000048</v>
      </c>
      <c r="CU122" s="247"/>
      <c r="CV122" s="246">
        <f>204.364384571867+7.63561542813255</f>
        <v>211.99999999999955</v>
      </c>
      <c r="CW122" s="247"/>
      <c r="CX122" s="246">
        <f>183.71663875021+15.2833612497903</f>
        <v>199.00000000000028</v>
      </c>
      <c r="CY122" s="247"/>
      <c r="CZ122" s="231">
        <f>239.89183113749+6.10816886250979</f>
        <v>245.99999999999977</v>
      </c>
      <c r="DA122" s="232"/>
      <c r="DB122" s="231">
        <f>246.611950994608+14.3880490053925</f>
        <v>261.00000000000051</v>
      </c>
      <c r="DC122" s="232"/>
      <c r="DD122" s="231">
        <f>73.1545411997509+3.84545880024913</f>
        <v>77.000000000000028</v>
      </c>
      <c r="DE122" s="232"/>
      <c r="DF122" s="231">
        <f>57.7111736354604+5.28882636453959</f>
        <v>62.999999999999986</v>
      </c>
      <c r="DG122" s="232"/>
      <c r="DH122" s="231">
        <f>59.2561345968836+4.74386540311635</f>
        <v>63.99999999999995</v>
      </c>
      <c r="DI122" s="232"/>
      <c r="DJ122" s="231">
        <f>43.9236974827362+3.07630251726383</f>
        <v>47.000000000000028</v>
      </c>
      <c r="DK122" s="232"/>
      <c r="DL122" s="262">
        <f>108.171904333963+4.82809566603692</f>
        <v>112.99999999999991</v>
      </c>
      <c r="DM122" s="263"/>
      <c r="DN122" s="262">
        <f>89.7922517565178+7.20774824348219</f>
        <v>96.999999999999986</v>
      </c>
      <c r="DO122" s="263"/>
      <c r="DP122" s="262">
        <f>97.1245187341028+1.87548126589725</f>
        <v>99.000000000000043</v>
      </c>
      <c r="DQ122" s="263"/>
      <c r="DR122" s="262">
        <f>105.139139086837+4.86086091316319</f>
        <v>110.0000000000002</v>
      </c>
      <c r="DS122" s="263"/>
      <c r="DT122" s="262">
        <f>100.435584999034+3.56441500096641</f>
        <v>104.00000000000041</v>
      </c>
      <c r="DU122" s="263"/>
      <c r="DV122" s="262">
        <f>83.2058580005259+5.79414199947415</f>
        <v>89.000000000000043</v>
      </c>
      <c r="DW122" s="263"/>
      <c r="DX122" s="188">
        <f>94.5860827725069+4.41391722749312</f>
        <v>99.000000000000014</v>
      </c>
      <c r="DY122" s="189"/>
      <c r="DZ122" s="188">
        <f>95.3832668771317+6.61673312286825</f>
        <v>101.99999999999996</v>
      </c>
      <c r="EA122" s="189"/>
      <c r="EB122" s="188">
        <f>156.872763979102+5.12723602089835</f>
        <v>162.00000000000034</v>
      </c>
      <c r="EC122" s="189"/>
      <c r="ED122" s="188">
        <f>144.654993442741+9.34500655725901</f>
        <v>154</v>
      </c>
      <c r="EE122" s="189"/>
      <c r="EF122" s="188">
        <f>101.52414043422+2.47585956577981</f>
        <v>103.99999999999982</v>
      </c>
      <c r="EG122" s="189"/>
      <c r="EH122" s="188">
        <f>104.388665716211+6.61133428378928</f>
        <v>111.00000000000027</v>
      </c>
      <c r="EI122" s="189"/>
    </row>
    <row r="123" spans="1:139" s="18" customFormat="1" outlineLevel="1" x14ac:dyDescent="0.2">
      <c r="A123"/>
      <c r="B123" s="16"/>
      <c r="C123" s="17" t="s">
        <v>167</v>
      </c>
      <c r="D123" s="190" t="s">
        <v>167</v>
      </c>
      <c r="E123" s="191"/>
      <c r="F123" s="190" t="s">
        <v>167</v>
      </c>
      <c r="G123" s="191"/>
      <c r="H123" s="204" t="s">
        <v>167</v>
      </c>
      <c r="I123" s="205"/>
      <c r="J123" s="204" t="s">
        <v>167</v>
      </c>
      <c r="K123" s="205"/>
      <c r="L123" s="204" t="s">
        <v>167</v>
      </c>
      <c r="M123" s="205"/>
      <c r="N123" s="204" t="s">
        <v>167</v>
      </c>
      <c r="O123" s="205"/>
      <c r="P123" s="218" t="s">
        <v>167</v>
      </c>
      <c r="Q123" s="219"/>
      <c r="R123" s="218" t="s">
        <v>167</v>
      </c>
      <c r="S123" s="219"/>
      <c r="T123" s="218" t="s">
        <v>167</v>
      </c>
      <c r="U123" s="219"/>
      <c r="V123" s="218" t="s">
        <v>167</v>
      </c>
      <c r="W123" s="219"/>
      <c r="X123" s="248" t="s">
        <v>167</v>
      </c>
      <c r="Y123" s="249"/>
      <c r="Z123" s="248" t="s">
        <v>167</v>
      </c>
      <c r="AA123" s="249"/>
      <c r="AB123" s="248" t="s">
        <v>167</v>
      </c>
      <c r="AC123" s="249"/>
      <c r="AD123" s="248" t="s">
        <v>167</v>
      </c>
      <c r="AE123" s="249"/>
      <c r="AF123" s="248" t="s">
        <v>167</v>
      </c>
      <c r="AG123" s="249"/>
      <c r="AH123" s="248" t="s">
        <v>167</v>
      </c>
      <c r="AI123" s="249"/>
      <c r="AJ123" s="233" t="s">
        <v>167</v>
      </c>
      <c r="AK123" s="234"/>
      <c r="AL123" s="233" t="s">
        <v>167</v>
      </c>
      <c r="AM123" s="234"/>
      <c r="AN123" s="233" t="s">
        <v>167</v>
      </c>
      <c r="AO123" s="234"/>
      <c r="AP123" s="233" t="s">
        <v>167</v>
      </c>
      <c r="AQ123" s="234"/>
      <c r="AR123" s="233" t="s">
        <v>167</v>
      </c>
      <c r="AS123" s="234"/>
      <c r="AT123" s="233" t="s">
        <v>167</v>
      </c>
      <c r="AU123" s="234"/>
      <c r="AV123" s="264" t="s">
        <v>167</v>
      </c>
      <c r="AW123" s="265"/>
      <c r="AX123" s="264" t="s">
        <v>167</v>
      </c>
      <c r="AY123" s="265"/>
      <c r="AZ123" s="264" t="s">
        <v>167</v>
      </c>
      <c r="BA123" s="265"/>
      <c r="BB123" s="264" t="s">
        <v>167</v>
      </c>
      <c r="BC123" s="265"/>
      <c r="BD123" s="264" t="s">
        <v>167</v>
      </c>
      <c r="BE123" s="265"/>
      <c r="BF123" s="264" t="s">
        <v>167</v>
      </c>
      <c r="BG123" s="265"/>
      <c r="BH123" s="264" t="s">
        <v>167</v>
      </c>
      <c r="BI123" s="265"/>
      <c r="BJ123" s="264" t="s">
        <v>167</v>
      </c>
      <c r="BK123" s="265"/>
      <c r="BL123" s="190" t="s">
        <v>167</v>
      </c>
      <c r="BM123" s="191"/>
      <c r="BN123" s="190" t="s">
        <v>167</v>
      </c>
      <c r="BO123" s="191"/>
      <c r="BP123" s="190" t="s">
        <v>167</v>
      </c>
      <c r="BQ123" s="191"/>
      <c r="BR123" s="190" t="s">
        <v>167</v>
      </c>
      <c r="BS123" s="191"/>
      <c r="BT123" s="204" t="s">
        <v>167</v>
      </c>
      <c r="BU123" s="205"/>
      <c r="BV123" s="204" t="s">
        <v>167</v>
      </c>
      <c r="BW123" s="205"/>
      <c r="BX123" s="204" t="s">
        <v>167</v>
      </c>
      <c r="BY123" s="205"/>
      <c r="BZ123" s="204" t="s">
        <v>167</v>
      </c>
      <c r="CA123" s="205"/>
      <c r="CB123" s="204" t="s">
        <v>167</v>
      </c>
      <c r="CC123" s="205"/>
      <c r="CD123" s="204" t="s">
        <v>167</v>
      </c>
      <c r="CE123" s="205"/>
      <c r="CF123" s="204" t="s">
        <v>167</v>
      </c>
      <c r="CG123" s="205"/>
      <c r="CH123" s="204" t="s">
        <v>167</v>
      </c>
      <c r="CI123" s="205"/>
      <c r="CJ123" s="218" t="s">
        <v>167</v>
      </c>
      <c r="CK123" s="219"/>
      <c r="CL123" s="218" t="s">
        <v>167</v>
      </c>
      <c r="CM123" s="219"/>
      <c r="CN123" s="218" t="s">
        <v>167</v>
      </c>
      <c r="CO123" s="219"/>
      <c r="CP123" s="218" t="s">
        <v>167</v>
      </c>
      <c r="CQ123" s="219"/>
      <c r="CR123" s="248" t="s">
        <v>167</v>
      </c>
      <c r="CS123" s="249"/>
      <c r="CT123" s="248" t="s">
        <v>167</v>
      </c>
      <c r="CU123" s="249"/>
      <c r="CV123" s="248" t="s">
        <v>167</v>
      </c>
      <c r="CW123" s="249"/>
      <c r="CX123" s="248" t="s">
        <v>167</v>
      </c>
      <c r="CY123" s="249"/>
      <c r="CZ123" s="233" t="s">
        <v>167</v>
      </c>
      <c r="DA123" s="234"/>
      <c r="DB123" s="233" t="s">
        <v>167</v>
      </c>
      <c r="DC123" s="234"/>
      <c r="DD123" s="233" t="s">
        <v>167</v>
      </c>
      <c r="DE123" s="234"/>
      <c r="DF123" s="233" t="s">
        <v>167</v>
      </c>
      <c r="DG123" s="234"/>
      <c r="DH123" s="233" t="s">
        <v>167</v>
      </c>
      <c r="DI123" s="234"/>
      <c r="DJ123" s="233" t="s">
        <v>167</v>
      </c>
      <c r="DK123" s="234"/>
      <c r="DL123" s="264" t="s">
        <v>167</v>
      </c>
      <c r="DM123" s="265"/>
      <c r="DN123" s="264" t="s">
        <v>167</v>
      </c>
      <c r="DO123" s="265"/>
      <c r="DP123" s="264" t="s">
        <v>167</v>
      </c>
      <c r="DQ123" s="265"/>
      <c r="DR123" s="264" t="s">
        <v>167</v>
      </c>
      <c r="DS123" s="265"/>
      <c r="DT123" s="264" t="s">
        <v>167</v>
      </c>
      <c r="DU123" s="265"/>
      <c r="DV123" s="264" t="s">
        <v>167</v>
      </c>
      <c r="DW123" s="265"/>
      <c r="DX123" s="190" t="s">
        <v>167</v>
      </c>
      <c r="DY123" s="191"/>
      <c r="DZ123" s="190" t="s">
        <v>167</v>
      </c>
      <c r="EA123" s="191"/>
      <c r="EB123" s="190" t="s">
        <v>167</v>
      </c>
      <c r="EC123" s="191"/>
      <c r="ED123" s="190" t="s">
        <v>167</v>
      </c>
      <c r="EE123" s="191"/>
      <c r="EF123" s="190" t="s">
        <v>167</v>
      </c>
      <c r="EG123" s="191"/>
      <c r="EH123" s="190" t="s">
        <v>167</v>
      </c>
      <c r="EI123" s="191"/>
    </row>
    <row r="124" spans="1:139" outlineLevel="1" x14ac:dyDescent="0.2">
      <c r="A124"/>
      <c r="B124"/>
      <c r="E124" s="187"/>
      <c r="G124" s="187"/>
      <c r="I124" s="201"/>
      <c r="K124" s="201"/>
      <c r="M124" s="201"/>
      <c r="O124" s="201"/>
      <c r="Q124" s="215"/>
      <c r="S124" s="215"/>
      <c r="U124" s="215"/>
      <c r="W124" s="215"/>
      <c r="Y124" s="245"/>
      <c r="AA124" s="245"/>
      <c r="AC124" s="245"/>
      <c r="AE124" s="245"/>
      <c r="AG124" s="245"/>
      <c r="AI124" s="245"/>
      <c r="AK124" s="230"/>
      <c r="AM124" s="230"/>
      <c r="AO124" s="230"/>
      <c r="AQ124" s="230"/>
      <c r="AS124" s="230"/>
      <c r="AU124" s="230"/>
      <c r="AW124" s="261"/>
      <c r="AY124" s="261"/>
      <c r="BA124" s="261"/>
      <c r="BC124" s="261"/>
      <c r="BE124" s="261"/>
      <c r="BG124" s="261"/>
      <c r="BI124" s="261"/>
      <c r="BK124" s="261"/>
      <c r="BM124" s="187"/>
      <c r="BO124" s="187"/>
      <c r="BQ124" s="187"/>
      <c r="BS124" s="187"/>
      <c r="BU124" s="201"/>
      <c r="BW124" s="201"/>
      <c r="BY124" s="201"/>
      <c r="CA124" s="201"/>
      <c r="CC124" s="201"/>
      <c r="CE124" s="201"/>
      <c r="CG124" s="201"/>
      <c r="CI124" s="201"/>
      <c r="CK124" s="215"/>
      <c r="CM124" s="215"/>
      <c r="CO124" s="215"/>
      <c r="CQ124" s="215"/>
      <c r="CS124" s="245"/>
      <c r="CU124" s="245"/>
      <c r="CW124" s="245"/>
      <c r="CY124" s="245"/>
      <c r="DA124" s="230"/>
      <c r="DC124" s="230"/>
      <c r="DE124" s="230"/>
      <c r="DG124" s="230"/>
      <c r="DI124" s="230"/>
      <c r="DK124" s="230"/>
      <c r="DM124" s="261"/>
      <c r="DO124" s="261"/>
      <c r="DQ124" s="261"/>
      <c r="DS124" s="261"/>
      <c r="DU124" s="261"/>
      <c r="DW124" s="261"/>
      <c r="DY124" s="187"/>
      <c r="EA124" s="187"/>
      <c r="EC124" s="187"/>
      <c r="EE124" s="187"/>
      <c r="EG124" s="187"/>
      <c r="EI124" s="187"/>
    </row>
    <row r="125" spans="1:139" outlineLevel="1" x14ac:dyDescent="0.2">
      <c r="A125"/>
      <c r="B125" s="7" t="s">
        <v>92</v>
      </c>
      <c r="C125" s="10">
        <v>29.497626094842001</v>
      </c>
      <c r="D125" s="192">
        <v>29.26517618818071</v>
      </c>
      <c r="E125" s="189"/>
      <c r="F125" s="192">
        <v>29.732111249845637</v>
      </c>
      <c r="G125" s="189"/>
      <c r="H125" s="206">
        <v>0</v>
      </c>
      <c r="I125" s="203"/>
      <c r="J125" s="206">
        <v>0</v>
      </c>
      <c r="K125" s="203"/>
      <c r="L125" s="206">
        <v>29.26517618818071</v>
      </c>
      <c r="M125" s="203"/>
      <c r="N125" s="206">
        <v>29.732111249845637</v>
      </c>
      <c r="O125" s="203"/>
      <c r="P125" s="220">
        <v>77.530759928594733</v>
      </c>
      <c r="Q125" s="217"/>
      <c r="R125" s="220">
        <v>76.26815244908498</v>
      </c>
      <c r="S125" s="217"/>
      <c r="T125" s="220">
        <v>21.295276746077477</v>
      </c>
      <c r="U125" s="217"/>
      <c r="V125" s="220">
        <v>19.908311215424771</v>
      </c>
      <c r="W125" s="217"/>
      <c r="X125" s="250">
        <v>40.090454389879689</v>
      </c>
      <c r="Y125" s="247"/>
      <c r="Z125" s="250">
        <v>29.485571731621956</v>
      </c>
      <c r="AA125" s="247"/>
      <c r="AB125" s="250">
        <v>19.650472908109471</v>
      </c>
      <c r="AC125" s="247"/>
      <c r="AD125" s="250">
        <v>52.23333687518025</v>
      </c>
      <c r="AE125" s="247"/>
      <c r="AF125" s="250">
        <v>23.378826825519877</v>
      </c>
      <c r="AG125" s="247"/>
      <c r="AH125" s="250">
        <v>20.179015509615201</v>
      </c>
      <c r="AI125" s="247"/>
      <c r="AJ125" s="235">
        <v>27.962902937888142</v>
      </c>
      <c r="AK125" s="232"/>
      <c r="AL125" s="235">
        <v>24.336215767414952</v>
      </c>
      <c r="AM125" s="232"/>
      <c r="AN125" s="235">
        <v>15.625907001898048</v>
      </c>
      <c r="AO125" s="232"/>
      <c r="AP125" s="235">
        <v>32.15669861856405</v>
      </c>
      <c r="AQ125" s="232"/>
      <c r="AR125" s="235">
        <v>17.833440873094069</v>
      </c>
      <c r="AS125" s="232"/>
      <c r="AT125" s="235">
        <v>14.037134357598759</v>
      </c>
      <c r="AU125" s="232"/>
      <c r="AV125" s="266">
        <v>37.805418826291302</v>
      </c>
      <c r="AW125" s="263"/>
      <c r="AX125" s="266">
        <v>28.17390653689197</v>
      </c>
      <c r="AY125" s="263"/>
      <c r="AZ125" s="266">
        <v>24.803964480304572</v>
      </c>
      <c r="BA125" s="263"/>
      <c r="BB125" s="266">
        <v>31.595095982844619</v>
      </c>
      <c r="BC125" s="263"/>
      <c r="BD125" s="266">
        <v>32.744358220747706</v>
      </c>
      <c r="BE125" s="263"/>
      <c r="BF125" s="266">
        <v>29.351537017329836</v>
      </c>
      <c r="BG125" s="263"/>
      <c r="BH125" s="266">
        <v>15.868477483917083</v>
      </c>
      <c r="BI125" s="263"/>
      <c r="BJ125" s="266">
        <v>25.554597205451095</v>
      </c>
      <c r="BK125" s="263"/>
      <c r="BL125" s="192">
        <v>33.731276809160335</v>
      </c>
      <c r="BM125" s="189"/>
      <c r="BN125" s="192">
        <v>34.707947216225357</v>
      </c>
      <c r="BO125" s="189"/>
      <c r="BP125" s="192">
        <v>25.912707540686618</v>
      </c>
      <c r="BQ125" s="189"/>
      <c r="BR125" s="192">
        <v>26.300563963724191</v>
      </c>
      <c r="BS125" s="189"/>
      <c r="BT125" s="206">
        <v>30.405576679340939</v>
      </c>
      <c r="BU125" s="203"/>
      <c r="BV125" s="206">
        <v>28.008493153040085</v>
      </c>
      <c r="BW125" s="203"/>
      <c r="BX125" s="206">
        <v>30.233464635438914</v>
      </c>
      <c r="BY125" s="203"/>
      <c r="BZ125" s="206">
        <v>29.339440524583885</v>
      </c>
      <c r="CA125" s="203"/>
      <c r="CB125" s="206">
        <v>30.581353701379221</v>
      </c>
      <c r="CC125" s="203"/>
      <c r="CD125" s="206">
        <v>25.795046774863703</v>
      </c>
      <c r="CE125" s="203"/>
      <c r="CF125" s="206">
        <v>23.615450392448487</v>
      </c>
      <c r="CG125" s="203"/>
      <c r="CH125" s="206">
        <v>35.260971981886662</v>
      </c>
      <c r="CI125" s="203"/>
      <c r="CJ125" s="220">
        <v>28.910648758290201</v>
      </c>
      <c r="CK125" s="217"/>
      <c r="CL125" s="220">
        <v>29.653816655941181</v>
      </c>
      <c r="CM125" s="217"/>
      <c r="CN125" s="220">
        <v>27.590214018362712</v>
      </c>
      <c r="CO125" s="217"/>
      <c r="CP125" s="220">
        <v>32.168581926531026</v>
      </c>
      <c r="CQ125" s="217"/>
      <c r="CR125" s="250">
        <v>29.380122689367262</v>
      </c>
      <c r="CS125" s="247"/>
      <c r="CT125" s="250">
        <v>24.374780468394576</v>
      </c>
      <c r="CU125" s="247"/>
      <c r="CV125" s="250">
        <v>28.910893728811057</v>
      </c>
      <c r="CW125" s="247"/>
      <c r="CX125" s="250">
        <v>33.467430533995653</v>
      </c>
      <c r="CY125" s="247"/>
      <c r="CZ125" s="235">
        <v>26.225284424685761</v>
      </c>
      <c r="DA125" s="232"/>
      <c r="DB125" s="235">
        <v>31.315616892879575</v>
      </c>
      <c r="DC125" s="232"/>
      <c r="DD125" s="235">
        <v>33.026868655387979</v>
      </c>
      <c r="DE125" s="232"/>
      <c r="DF125" s="235">
        <v>22.08259544999822</v>
      </c>
      <c r="DG125" s="232"/>
      <c r="DH125" s="235">
        <v>33.176732308551635</v>
      </c>
      <c r="DI125" s="232"/>
      <c r="DJ125" s="235">
        <v>34.997194637245016</v>
      </c>
      <c r="DK125" s="232"/>
      <c r="DL125" s="266">
        <v>40.090454389879689</v>
      </c>
      <c r="DM125" s="263"/>
      <c r="DN125" s="266">
        <v>52.23333687518025</v>
      </c>
      <c r="DO125" s="263"/>
      <c r="DP125" s="266">
        <v>19.650472908109471</v>
      </c>
      <c r="DQ125" s="263"/>
      <c r="DR125" s="266">
        <v>20.179015509615201</v>
      </c>
      <c r="DS125" s="263"/>
      <c r="DT125" s="266">
        <v>29.485571731621956</v>
      </c>
      <c r="DU125" s="263"/>
      <c r="DV125" s="266">
        <v>23.378826825519877</v>
      </c>
      <c r="DW125" s="263"/>
      <c r="DX125" s="192">
        <v>38.087460565800612</v>
      </c>
      <c r="DY125" s="189"/>
      <c r="DZ125" s="192">
        <v>40.124857951111004</v>
      </c>
      <c r="EA125" s="189"/>
      <c r="EB125" s="192">
        <v>27.807326875991315</v>
      </c>
      <c r="EC125" s="189"/>
      <c r="ED125" s="192">
        <v>30.402281646496114</v>
      </c>
      <c r="EE125" s="189"/>
      <c r="EF125" s="192">
        <v>23.48230953945049</v>
      </c>
      <c r="EG125" s="189"/>
      <c r="EH125" s="192">
        <v>18.940208417421935</v>
      </c>
      <c r="EI125" s="189"/>
    </row>
    <row r="126" spans="1:139" outlineLevel="1" x14ac:dyDescent="0.2">
      <c r="A126"/>
      <c r="B126" s="11" t="s">
        <v>93</v>
      </c>
      <c r="C126" s="12">
        <v>10.650319139082674</v>
      </c>
      <c r="D126" s="193">
        <v>9.6095274263348092</v>
      </c>
      <c r="E126" s="189"/>
      <c r="F126" s="193">
        <v>11.700223652255046</v>
      </c>
      <c r="G126" s="189"/>
      <c r="H126" s="207">
        <v>0</v>
      </c>
      <c r="I126" s="203"/>
      <c r="J126" s="207">
        <v>0</v>
      </c>
      <c r="K126" s="203"/>
      <c r="L126" s="207">
        <v>9.6095274263348092</v>
      </c>
      <c r="M126" s="203"/>
      <c r="N126" s="207">
        <v>11.700223652255046</v>
      </c>
      <c r="O126" s="203"/>
      <c r="P126" s="221">
        <v>36.518993416127607</v>
      </c>
      <c r="Q126" s="217"/>
      <c r="R126" s="221">
        <v>50.580783908711915</v>
      </c>
      <c r="S126" s="217"/>
      <c r="T126" s="221">
        <v>5.1660768066799658</v>
      </c>
      <c r="U126" s="217"/>
      <c r="V126" s="221">
        <v>3.492502510906073</v>
      </c>
      <c r="W126" s="217"/>
      <c r="X126" s="251">
        <v>15.340964435750307</v>
      </c>
      <c r="Y126" s="247"/>
      <c r="Z126" s="251">
        <v>11.043483921364405</v>
      </c>
      <c r="AA126" s="247"/>
      <c r="AB126" s="251">
        <v>0.86034260264702644</v>
      </c>
      <c r="AC126" s="247"/>
      <c r="AD126" s="251">
        <v>26.334846207946892</v>
      </c>
      <c r="AE126" s="247"/>
      <c r="AF126" s="251">
        <v>6.3960631242038071</v>
      </c>
      <c r="AG126" s="247"/>
      <c r="AH126" s="251">
        <v>6.3902652011314238</v>
      </c>
      <c r="AI126" s="247" t="s">
        <v>188</v>
      </c>
      <c r="AJ126" s="236">
        <v>5.5780649586140161</v>
      </c>
      <c r="AK126" s="232"/>
      <c r="AL126" s="236">
        <v>8.3277760357551376</v>
      </c>
      <c r="AM126" s="232"/>
      <c r="AN126" s="236">
        <v>0.91321388227089262</v>
      </c>
      <c r="AO126" s="232"/>
      <c r="AP126" s="236">
        <v>7.3678658611531622</v>
      </c>
      <c r="AQ126" s="232"/>
      <c r="AR126" s="236">
        <v>2.0719756535133307</v>
      </c>
      <c r="AS126" s="232"/>
      <c r="AT126" s="236">
        <v>2.1139036333558248</v>
      </c>
      <c r="AU126" s="232"/>
      <c r="AV126" s="267">
        <v>14.152130963824575</v>
      </c>
      <c r="AW126" s="263"/>
      <c r="AX126" s="267">
        <v>6.8639188351742391</v>
      </c>
      <c r="AY126" s="263"/>
      <c r="AZ126" s="267">
        <v>8.2645127190818233</v>
      </c>
      <c r="BA126" s="263"/>
      <c r="BB126" s="267">
        <v>13.772810882591701</v>
      </c>
      <c r="BC126" s="263"/>
      <c r="BD126" s="267">
        <v>8.5295618442157473</v>
      </c>
      <c r="BE126" s="263"/>
      <c r="BF126" s="267">
        <v>11.331274171360345</v>
      </c>
      <c r="BG126" s="263"/>
      <c r="BH126" s="267">
        <v>0</v>
      </c>
      <c r="BI126" s="263"/>
      <c r="BJ126" s="267">
        <v>17.098499223736415</v>
      </c>
      <c r="BK126" s="263"/>
      <c r="BL126" s="193">
        <v>10.94394256519055</v>
      </c>
      <c r="BM126" s="189"/>
      <c r="BN126" s="193">
        <v>13.327856033982563</v>
      </c>
      <c r="BO126" s="189"/>
      <c r="BP126" s="193">
        <v>8.6078516255835762</v>
      </c>
      <c r="BQ126" s="189"/>
      <c r="BR126" s="193">
        <v>10.577739406379841</v>
      </c>
      <c r="BS126" s="189"/>
      <c r="BT126" s="207">
        <v>7.9170790145320069</v>
      </c>
      <c r="BU126" s="203"/>
      <c r="BV126" s="207">
        <v>6.173181235977272</v>
      </c>
      <c r="BW126" s="203"/>
      <c r="BX126" s="207">
        <v>9.75584136174521</v>
      </c>
      <c r="BY126" s="203"/>
      <c r="BZ126" s="207">
        <v>12.690280638861392</v>
      </c>
      <c r="CA126" s="203"/>
      <c r="CB126" s="207">
        <v>5.1421622686740056</v>
      </c>
      <c r="CC126" s="203"/>
      <c r="CD126" s="207">
        <v>13.046976316684084</v>
      </c>
      <c r="CE126" s="203"/>
      <c r="CF126" s="207">
        <v>17.673324482863027</v>
      </c>
      <c r="CG126" s="203"/>
      <c r="CH126" s="207">
        <v>12.571761544658772</v>
      </c>
      <c r="CI126" s="203"/>
      <c r="CJ126" s="221">
        <v>10.318393503536324</v>
      </c>
      <c r="CK126" s="217"/>
      <c r="CL126" s="221">
        <v>11.594673695531439</v>
      </c>
      <c r="CM126" s="217"/>
      <c r="CN126" s="221">
        <v>5.8815861032022774</v>
      </c>
      <c r="CO126" s="217"/>
      <c r="CP126" s="221">
        <v>13.668427087605354</v>
      </c>
      <c r="CQ126" s="217" t="s">
        <v>217</v>
      </c>
      <c r="CR126" s="251">
        <v>10.309811066540098</v>
      </c>
      <c r="CS126" s="247"/>
      <c r="CT126" s="251">
        <v>10.59266728794381</v>
      </c>
      <c r="CU126" s="247"/>
      <c r="CV126" s="251">
        <v>8.7438054852133842</v>
      </c>
      <c r="CW126" s="247"/>
      <c r="CX126" s="251">
        <v>12.753754656938838</v>
      </c>
      <c r="CY126" s="247"/>
      <c r="CZ126" s="236">
        <v>6.0789442092688697</v>
      </c>
      <c r="DA126" s="232"/>
      <c r="DB126" s="236">
        <v>12.468517208276834</v>
      </c>
      <c r="DC126" s="232" t="s">
        <v>222</v>
      </c>
      <c r="DD126" s="236">
        <v>13.069602438240278</v>
      </c>
      <c r="DE126" s="232"/>
      <c r="DF126" s="236">
        <v>7.0681399512430438</v>
      </c>
      <c r="DG126" s="232"/>
      <c r="DH126" s="236">
        <v>18.750551741738317</v>
      </c>
      <c r="DI126" s="232"/>
      <c r="DJ126" s="236">
        <v>13.497326077318151</v>
      </c>
      <c r="DK126" s="232"/>
      <c r="DL126" s="267">
        <v>15.340964435750307</v>
      </c>
      <c r="DM126" s="263"/>
      <c r="DN126" s="267">
        <v>26.334846207946892</v>
      </c>
      <c r="DO126" s="263"/>
      <c r="DP126" s="267">
        <v>0.86034260264702644</v>
      </c>
      <c r="DQ126" s="263"/>
      <c r="DR126" s="267">
        <v>6.3902652011314238</v>
      </c>
      <c r="DS126" s="263" t="s">
        <v>230</v>
      </c>
      <c r="DT126" s="267">
        <v>11.043483921364405</v>
      </c>
      <c r="DU126" s="263"/>
      <c r="DV126" s="267">
        <v>6.3960631242038071</v>
      </c>
      <c r="DW126" s="263"/>
      <c r="DX126" s="193">
        <v>16.48721434250686</v>
      </c>
      <c r="DY126" s="189"/>
      <c r="DZ126" s="193">
        <v>17.421407674266785</v>
      </c>
      <c r="EA126" s="189"/>
      <c r="EB126" s="193">
        <v>7.9607631777514278</v>
      </c>
      <c r="EC126" s="189"/>
      <c r="ED126" s="193">
        <v>10.663934129628839</v>
      </c>
      <c r="EE126" s="189"/>
      <c r="EF126" s="193">
        <v>5.8729434120524502</v>
      </c>
      <c r="EG126" s="189"/>
      <c r="EH126" s="193">
        <v>7.718599787179393</v>
      </c>
      <c r="EI126" s="189"/>
    </row>
    <row r="127" spans="1:139" outlineLevel="1" x14ac:dyDescent="0.2">
      <c r="A127"/>
      <c r="B127" s="11" t="s">
        <v>94</v>
      </c>
      <c r="C127" s="12">
        <v>18.847306955759326</v>
      </c>
      <c r="D127" s="193">
        <v>19.655648761845899</v>
      </c>
      <c r="E127" s="189"/>
      <c r="F127" s="193">
        <v>18.031887597590593</v>
      </c>
      <c r="G127" s="189"/>
      <c r="H127" s="207">
        <v>0</v>
      </c>
      <c r="I127" s="203"/>
      <c r="J127" s="207">
        <v>0</v>
      </c>
      <c r="K127" s="203"/>
      <c r="L127" s="207">
        <v>19.655648761845899</v>
      </c>
      <c r="M127" s="203"/>
      <c r="N127" s="207">
        <v>18.031887597590593</v>
      </c>
      <c r="O127" s="203"/>
      <c r="P127" s="221">
        <v>41.011766512467133</v>
      </c>
      <c r="Q127" s="217"/>
      <c r="R127" s="221">
        <v>25.687368540373061</v>
      </c>
      <c r="S127" s="217"/>
      <c r="T127" s="221">
        <v>16.129199939397513</v>
      </c>
      <c r="U127" s="217"/>
      <c r="V127" s="221">
        <v>16.4158087045187</v>
      </c>
      <c r="W127" s="217"/>
      <c r="X127" s="251">
        <v>24.749489954129384</v>
      </c>
      <c r="Y127" s="247"/>
      <c r="Z127" s="251">
        <v>18.442087810257551</v>
      </c>
      <c r="AA127" s="247"/>
      <c r="AB127" s="251">
        <v>18.790130305462444</v>
      </c>
      <c r="AC127" s="247"/>
      <c r="AD127" s="251">
        <v>25.898490667233361</v>
      </c>
      <c r="AE127" s="247"/>
      <c r="AF127" s="251">
        <v>16.98276370131607</v>
      </c>
      <c r="AG127" s="247"/>
      <c r="AH127" s="251">
        <v>13.788750308483779</v>
      </c>
      <c r="AI127" s="247"/>
      <c r="AJ127" s="236">
        <v>22.384837979274128</v>
      </c>
      <c r="AK127" s="232"/>
      <c r="AL127" s="236">
        <v>16.008439731659813</v>
      </c>
      <c r="AM127" s="232"/>
      <c r="AN127" s="236">
        <v>14.712693119627156</v>
      </c>
      <c r="AO127" s="232"/>
      <c r="AP127" s="236">
        <v>24.788832757410887</v>
      </c>
      <c r="AQ127" s="232"/>
      <c r="AR127" s="236">
        <v>15.761465219580737</v>
      </c>
      <c r="AS127" s="232"/>
      <c r="AT127" s="236">
        <v>11.923230724242934</v>
      </c>
      <c r="AU127" s="232"/>
      <c r="AV127" s="267">
        <v>23.65328786246673</v>
      </c>
      <c r="AW127" s="263"/>
      <c r="AX127" s="267">
        <v>21.309987701717731</v>
      </c>
      <c r="AY127" s="263"/>
      <c r="AZ127" s="267">
        <v>16.53945176122275</v>
      </c>
      <c r="BA127" s="263"/>
      <c r="BB127" s="267">
        <v>17.82228510025292</v>
      </c>
      <c r="BC127" s="263"/>
      <c r="BD127" s="267">
        <v>24.214796376531957</v>
      </c>
      <c r="BE127" s="263"/>
      <c r="BF127" s="267">
        <v>18.020262845969494</v>
      </c>
      <c r="BG127" s="263"/>
      <c r="BH127" s="267">
        <v>15.868477483917083</v>
      </c>
      <c r="BI127" s="263"/>
      <c r="BJ127" s="267">
        <v>8.4560979817146809</v>
      </c>
      <c r="BK127" s="263"/>
      <c r="BL127" s="193">
        <v>22.787334243969781</v>
      </c>
      <c r="BM127" s="189"/>
      <c r="BN127" s="193">
        <v>21.380091182242793</v>
      </c>
      <c r="BO127" s="189"/>
      <c r="BP127" s="193">
        <v>17.304855915103044</v>
      </c>
      <c r="BQ127" s="189"/>
      <c r="BR127" s="193">
        <v>15.722824557344348</v>
      </c>
      <c r="BS127" s="189"/>
      <c r="BT127" s="207">
        <v>22.488497664808932</v>
      </c>
      <c r="BU127" s="203"/>
      <c r="BV127" s="207">
        <v>21.835311917062814</v>
      </c>
      <c r="BW127" s="203"/>
      <c r="BX127" s="207">
        <v>20.477623273693702</v>
      </c>
      <c r="BY127" s="203"/>
      <c r="BZ127" s="207">
        <v>16.649159885722494</v>
      </c>
      <c r="CA127" s="203"/>
      <c r="CB127" s="207">
        <v>25.439191432705218</v>
      </c>
      <c r="CC127" s="203" t="s">
        <v>213</v>
      </c>
      <c r="CD127" s="207">
        <v>12.748070458179621</v>
      </c>
      <c r="CE127" s="203"/>
      <c r="CF127" s="207">
        <v>5.9421259095854593</v>
      </c>
      <c r="CG127" s="203"/>
      <c r="CH127" s="207">
        <v>22.689210437227892</v>
      </c>
      <c r="CI127" s="203" t="s">
        <v>214</v>
      </c>
      <c r="CJ127" s="221">
        <v>18.592255254753876</v>
      </c>
      <c r="CK127" s="217"/>
      <c r="CL127" s="221">
        <v>18.059142960409741</v>
      </c>
      <c r="CM127" s="217"/>
      <c r="CN127" s="221">
        <v>21.708627915160434</v>
      </c>
      <c r="CO127" s="217"/>
      <c r="CP127" s="221">
        <v>18.50015483892567</v>
      </c>
      <c r="CQ127" s="217"/>
      <c r="CR127" s="251">
        <v>19.070311622827163</v>
      </c>
      <c r="CS127" s="247"/>
      <c r="CT127" s="251">
        <v>13.782113180450768</v>
      </c>
      <c r="CU127" s="247"/>
      <c r="CV127" s="251">
        <v>20.167088243597671</v>
      </c>
      <c r="CW127" s="247"/>
      <c r="CX127" s="251">
        <v>20.713675877056811</v>
      </c>
      <c r="CY127" s="247"/>
      <c r="CZ127" s="236">
        <v>20.146340215416892</v>
      </c>
      <c r="DA127" s="232"/>
      <c r="DB127" s="236">
        <v>18.847099684602739</v>
      </c>
      <c r="DC127" s="232"/>
      <c r="DD127" s="236">
        <v>19.957266217147701</v>
      </c>
      <c r="DE127" s="232"/>
      <c r="DF127" s="236">
        <v>15.014455498755176</v>
      </c>
      <c r="DG127" s="232"/>
      <c r="DH127" s="236">
        <v>14.426180566813315</v>
      </c>
      <c r="DI127" s="232"/>
      <c r="DJ127" s="236">
        <v>21.499868559926863</v>
      </c>
      <c r="DK127" s="232"/>
      <c r="DL127" s="267">
        <v>24.749489954129384</v>
      </c>
      <c r="DM127" s="263"/>
      <c r="DN127" s="267">
        <v>25.898490667233361</v>
      </c>
      <c r="DO127" s="263"/>
      <c r="DP127" s="267">
        <v>18.790130305462444</v>
      </c>
      <c r="DQ127" s="263"/>
      <c r="DR127" s="267">
        <v>13.788750308483779</v>
      </c>
      <c r="DS127" s="263"/>
      <c r="DT127" s="267">
        <v>18.442087810257551</v>
      </c>
      <c r="DU127" s="263"/>
      <c r="DV127" s="267">
        <v>16.98276370131607</v>
      </c>
      <c r="DW127" s="263"/>
      <c r="DX127" s="193">
        <v>21.600246223293748</v>
      </c>
      <c r="DY127" s="189"/>
      <c r="DZ127" s="193">
        <v>22.703450276844219</v>
      </c>
      <c r="EA127" s="189"/>
      <c r="EB127" s="193">
        <v>19.846563698239887</v>
      </c>
      <c r="EC127" s="189"/>
      <c r="ED127" s="193">
        <v>19.738347516867275</v>
      </c>
      <c r="EE127" s="189"/>
      <c r="EF127" s="193">
        <v>17.60936612739804</v>
      </c>
      <c r="EG127" s="189"/>
      <c r="EH127" s="193">
        <v>11.221608630242541</v>
      </c>
      <c r="EI127" s="189"/>
    </row>
    <row r="128" spans="1:139" outlineLevel="1" x14ac:dyDescent="0.2">
      <c r="A128"/>
      <c r="B128" s="7"/>
      <c r="E128" s="187"/>
      <c r="G128" s="187"/>
      <c r="I128" s="201"/>
      <c r="K128" s="201"/>
      <c r="M128" s="201"/>
      <c r="O128" s="201"/>
      <c r="Q128" s="215"/>
      <c r="S128" s="215"/>
      <c r="U128" s="215"/>
      <c r="W128" s="215"/>
      <c r="Y128" s="245"/>
      <c r="AA128" s="245"/>
      <c r="AC128" s="245"/>
      <c r="AE128" s="245"/>
      <c r="AG128" s="245"/>
      <c r="AI128" s="245"/>
      <c r="AK128" s="230"/>
      <c r="AM128" s="230"/>
      <c r="AO128" s="230"/>
      <c r="AQ128" s="230"/>
      <c r="AS128" s="230"/>
      <c r="AU128" s="230"/>
      <c r="AW128" s="261"/>
      <c r="AY128" s="261"/>
      <c r="BA128" s="261"/>
      <c r="BC128" s="261"/>
      <c r="BE128" s="261"/>
      <c r="BG128" s="261"/>
      <c r="BI128" s="261"/>
      <c r="BK128" s="261"/>
      <c r="BM128" s="187"/>
      <c r="BO128" s="187"/>
      <c r="BQ128" s="187"/>
      <c r="BS128" s="187"/>
      <c r="BU128" s="201"/>
      <c r="BW128" s="201"/>
      <c r="BY128" s="201"/>
      <c r="CA128" s="201"/>
      <c r="CC128" s="201"/>
      <c r="CE128" s="201"/>
      <c r="CG128" s="201"/>
      <c r="CI128" s="201"/>
      <c r="CK128" s="215"/>
      <c r="CM128" s="215"/>
      <c r="CO128" s="215"/>
      <c r="CQ128" s="215"/>
      <c r="CS128" s="245"/>
      <c r="CU128" s="245"/>
      <c r="CW128" s="245"/>
      <c r="CY128" s="245"/>
      <c r="DA128" s="230"/>
      <c r="DC128" s="230"/>
      <c r="DE128" s="230"/>
      <c r="DG128" s="230"/>
      <c r="DI128" s="230"/>
      <c r="DK128" s="230"/>
      <c r="DM128" s="261"/>
      <c r="DO128" s="261"/>
      <c r="DQ128" s="261"/>
      <c r="DS128" s="261"/>
      <c r="DU128" s="261"/>
      <c r="DW128" s="261"/>
      <c r="DY128" s="187"/>
      <c r="EA128" s="187"/>
      <c r="EC128" s="187"/>
      <c r="EE128" s="187"/>
      <c r="EG128" s="187"/>
      <c r="EI128" s="187"/>
    </row>
    <row r="129" spans="1:139" outlineLevel="1" x14ac:dyDescent="0.2">
      <c r="A129"/>
      <c r="B129" s="13" t="s">
        <v>95</v>
      </c>
      <c r="C129" s="12">
        <v>47.492515716517175</v>
      </c>
      <c r="D129" s="193">
        <v>48.218286617141231</v>
      </c>
      <c r="E129" s="189"/>
      <c r="F129" s="193">
        <v>46.760390225161565</v>
      </c>
      <c r="G129" s="189"/>
      <c r="H129" s="207">
        <v>0</v>
      </c>
      <c r="I129" s="203"/>
      <c r="J129" s="207">
        <v>0</v>
      </c>
      <c r="K129" s="203"/>
      <c r="L129" s="207">
        <v>48.218286617141231</v>
      </c>
      <c r="M129" s="203"/>
      <c r="N129" s="207">
        <v>46.760390225161565</v>
      </c>
      <c r="O129" s="203"/>
      <c r="P129" s="221">
        <v>18.639269055799758</v>
      </c>
      <c r="Q129" s="217"/>
      <c r="R129" s="221">
        <v>21.082345680567276</v>
      </c>
      <c r="S129" s="217"/>
      <c r="T129" s="221">
        <v>53.102549424941976</v>
      </c>
      <c r="U129" s="217"/>
      <c r="V129" s="221">
        <v>52.181048458659284</v>
      </c>
      <c r="W129" s="217"/>
      <c r="X129" s="251">
        <v>44.382525019727133</v>
      </c>
      <c r="Y129" s="247" t="s">
        <v>189</v>
      </c>
      <c r="Z129" s="251">
        <v>53.642295350636026</v>
      </c>
      <c r="AA129" s="247"/>
      <c r="AB129" s="251">
        <v>44.203728184064339</v>
      </c>
      <c r="AC129" s="247"/>
      <c r="AD129" s="251">
        <v>29.208093626193474</v>
      </c>
      <c r="AE129" s="247"/>
      <c r="AF129" s="251">
        <v>49.609780534134856</v>
      </c>
      <c r="AG129" s="247"/>
      <c r="AH129" s="251">
        <v>50.944909543064334</v>
      </c>
      <c r="AI129" s="247"/>
      <c r="AJ129" s="236">
        <v>52.717804898672462</v>
      </c>
      <c r="AK129" s="232"/>
      <c r="AL129" s="236">
        <v>57.386200530850729</v>
      </c>
      <c r="AM129" s="232"/>
      <c r="AN129" s="236">
        <v>46.006999183567785</v>
      </c>
      <c r="AO129" s="232"/>
      <c r="AP129" s="236">
        <v>39.310168856001752</v>
      </c>
      <c r="AQ129" s="232"/>
      <c r="AR129" s="236">
        <v>52.479016867643672</v>
      </c>
      <c r="AS129" s="232"/>
      <c r="AT129" s="236">
        <v>55.45923001333977</v>
      </c>
      <c r="AU129" s="232"/>
      <c r="AV129" s="267">
        <v>41.614537796047706</v>
      </c>
      <c r="AW129" s="263"/>
      <c r="AX129" s="267">
        <v>50.761399893709076</v>
      </c>
      <c r="AY129" s="263"/>
      <c r="AZ129" s="267">
        <v>49.627749297513574</v>
      </c>
      <c r="BA129" s="263"/>
      <c r="BB129" s="267">
        <v>46.20966303944892</v>
      </c>
      <c r="BC129" s="263"/>
      <c r="BD129" s="267">
        <v>51.503102772834602</v>
      </c>
      <c r="BE129" s="263"/>
      <c r="BF129" s="267">
        <v>42.669815973213588</v>
      </c>
      <c r="BG129" s="263"/>
      <c r="BH129" s="267">
        <v>62.953129786582245</v>
      </c>
      <c r="BI129" s="263"/>
      <c r="BJ129" s="267">
        <v>44.038452491100415</v>
      </c>
      <c r="BK129" s="263"/>
      <c r="BL129" s="193">
        <v>42.102872311470655</v>
      </c>
      <c r="BM129" s="189"/>
      <c r="BN129" s="193">
        <v>38.944069019350508</v>
      </c>
      <c r="BO129" s="189"/>
      <c r="BP129" s="193">
        <v>52.80880896898659</v>
      </c>
      <c r="BQ129" s="189"/>
      <c r="BR129" s="193">
        <v>52.150856470930805</v>
      </c>
      <c r="BS129" s="189"/>
      <c r="BT129" s="207">
        <v>47.24343281768148</v>
      </c>
      <c r="BU129" s="203"/>
      <c r="BV129" s="207">
        <v>51.628742617919869</v>
      </c>
      <c r="BW129" s="203"/>
      <c r="BX129" s="207">
        <v>48.959106512900824</v>
      </c>
      <c r="BY129" s="203"/>
      <c r="BZ129" s="207">
        <v>45.33681309939017</v>
      </c>
      <c r="CA129" s="203"/>
      <c r="CB129" s="207">
        <v>47.433763389119747</v>
      </c>
      <c r="CC129" s="203"/>
      <c r="CD129" s="207">
        <v>49.181723178424384</v>
      </c>
      <c r="CE129" s="203"/>
      <c r="CF129" s="207">
        <v>48.40358810044286</v>
      </c>
      <c r="CG129" s="203"/>
      <c r="CH129" s="207">
        <v>43.537008137791602</v>
      </c>
      <c r="CI129" s="203"/>
      <c r="CJ129" s="221">
        <v>45.319210534729152</v>
      </c>
      <c r="CK129" s="217"/>
      <c r="CL129" s="221">
        <v>44.326895104771808</v>
      </c>
      <c r="CM129" s="217"/>
      <c r="CN129" s="221">
        <v>54.47383153651748</v>
      </c>
      <c r="CO129" s="217"/>
      <c r="CP129" s="221">
        <v>50.502515086333162</v>
      </c>
      <c r="CQ129" s="217"/>
      <c r="CR129" s="251">
        <v>42.672704167559786</v>
      </c>
      <c r="CS129" s="247"/>
      <c r="CT129" s="251">
        <v>47.691402397058312</v>
      </c>
      <c r="CU129" s="247"/>
      <c r="CV129" s="251">
        <v>52.539911742595741</v>
      </c>
      <c r="CW129" s="247"/>
      <c r="CX129" s="251">
        <v>46.960668270723374</v>
      </c>
      <c r="CY129" s="247"/>
      <c r="CZ129" s="236">
        <v>49.957943916037401</v>
      </c>
      <c r="DA129" s="232"/>
      <c r="DB129" s="236">
        <v>46.952774557928535</v>
      </c>
      <c r="DC129" s="232"/>
      <c r="DD129" s="236">
        <v>46.338498168652443</v>
      </c>
      <c r="DE129" s="232"/>
      <c r="DF129" s="236">
        <v>50.666118447676922</v>
      </c>
      <c r="DG129" s="232"/>
      <c r="DH129" s="236">
        <v>49.355324889611524</v>
      </c>
      <c r="DI129" s="232"/>
      <c r="DJ129" s="236">
        <v>37.694855003943204</v>
      </c>
      <c r="DK129" s="232"/>
      <c r="DL129" s="267">
        <v>44.382525019727133</v>
      </c>
      <c r="DM129" s="263" t="s">
        <v>229</v>
      </c>
      <c r="DN129" s="267">
        <v>29.208093626193474</v>
      </c>
      <c r="DO129" s="263"/>
      <c r="DP129" s="267">
        <v>44.203728184064339</v>
      </c>
      <c r="DQ129" s="263"/>
      <c r="DR129" s="267">
        <v>50.944909543064334</v>
      </c>
      <c r="DS129" s="263"/>
      <c r="DT129" s="267">
        <v>53.642295350636026</v>
      </c>
      <c r="DU129" s="263"/>
      <c r="DV129" s="267">
        <v>49.609780534134856</v>
      </c>
      <c r="DW129" s="263"/>
      <c r="DX129" s="193">
        <v>45.848829156941704</v>
      </c>
      <c r="DY129" s="189"/>
      <c r="DZ129" s="193">
        <v>41.391716434149764</v>
      </c>
      <c r="EA129" s="189"/>
      <c r="EB129" s="193">
        <v>48.696530590246233</v>
      </c>
      <c r="EC129" s="189"/>
      <c r="ED129" s="193">
        <v>47.41357474398913</v>
      </c>
      <c r="EE129" s="189"/>
      <c r="EF129" s="193">
        <v>49.640827794046153</v>
      </c>
      <c r="EG129" s="189"/>
      <c r="EH129" s="193">
        <v>50.94182291857777</v>
      </c>
      <c r="EI129" s="189"/>
    </row>
    <row r="130" spans="1:139" outlineLevel="1" x14ac:dyDescent="0.2">
      <c r="A130"/>
      <c r="B130" s="7"/>
      <c r="E130" s="187"/>
      <c r="G130" s="187"/>
      <c r="I130" s="201"/>
      <c r="K130" s="201"/>
      <c r="M130" s="201"/>
      <c r="O130" s="201"/>
      <c r="Q130" s="215"/>
      <c r="S130" s="215"/>
      <c r="U130" s="215"/>
      <c r="W130" s="215"/>
      <c r="Y130" s="245"/>
      <c r="AA130" s="245"/>
      <c r="AC130" s="245"/>
      <c r="AE130" s="245"/>
      <c r="AG130" s="245"/>
      <c r="AI130" s="245"/>
      <c r="AK130" s="230"/>
      <c r="AM130" s="230"/>
      <c r="AO130" s="230"/>
      <c r="AQ130" s="230"/>
      <c r="AS130" s="230"/>
      <c r="AU130" s="230"/>
      <c r="AW130" s="261"/>
      <c r="AY130" s="261"/>
      <c r="BA130" s="261"/>
      <c r="BC130" s="261"/>
      <c r="BE130" s="261"/>
      <c r="BG130" s="261"/>
      <c r="BI130" s="261"/>
      <c r="BK130" s="261"/>
      <c r="BM130" s="187"/>
      <c r="BO130" s="187"/>
      <c r="BQ130" s="187"/>
      <c r="BS130" s="187"/>
      <c r="BU130" s="201"/>
      <c r="BW130" s="201"/>
      <c r="BY130" s="201"/>
      <c r="CA130" s="201"/>
      <c r="CC130" s="201"/>
      <c r="CE130" s="201"/>
      <c r="CG130" s="201"/>
      <c r="CI130" s="201"/>
      <c r="CK130" s="215"/>
      <c r="CM130" s="215"/>
      <c r="CO130" s="215"/>
      <c r="CQ130" s="215"/>
      <c r="CS130" s="245"/>
      <c r="CU130" s="245"/>
      <c r="CW130" s="245"/>
      <c r="CY130" s="245"/>
      <c r="DA130" s="230"/>
      <c r="DC130" s="230"/>
      <c r="DE130" s="230"/>
      <c r="DG130" s="230"/>
      <c r="DI130" s="230"/>
      <c r="DK130" s="230"/>
      <c r="DM130" s="261"/>
      <c r="DO130" s="261"/>
      <c r="DQ130" s="261"/>
      <c r="DS130" s="261"/>
      <c r="DU130" s="261"/>
      <c r="DW130" s="261"/>
      <c r="DY130" s="187"/>
      <c r="EA130" s="187"/>
      <c r="EC130" s="187"/>
      <c r="EE130" s="187"/>
      <c r="EG130" s="187"/>
      <c r="EI130" s="187"/>
    </row>
    <row r="131" spans="1:139" outlineLevel="1" x14ac:dyDescent="0.2">
      <c r="A131"/>
      <c r="B131" s="7" t="s">
        <v>96</v>
      </c>
      <c r="C131" s="10">
        <v>23.00985818864083</v>
      </c>
      <c r="D131" s="192">
        <v>22.516537194678065</v>
      </c>
      <c r="E131" s="189"/>
      <c r="F131" s="192">
        <v>23.507498524992798</v>
      </c>
      <c r="G131" s="189"/>
      <c r="H131" s="206">
        <v>0</v>
      </c>
      <c r="I131" s="203"/>
      <c r="J131" s="206">
        <v>0</v>
      </c>
      <c r="K131" s="203"/>
      <c r="L131" s="206">
        <v>22.516537194678065</v>
      </c>
      <c r="M131" s="203"/>
      <c r="N131" s="206">
        <v>23.507498524992798</v>
      </c>
      <c r="O131" s="203"/>
      <c r="P131" s="220">
        <v>3.8299710156055053</v>
      </c>
      <c r="Q131" s="217"/>
      <c r="R131" s="220">
        <v>2.6495018703477462</v>
      </c>
      <c r="S131" s="217"/>
      <c r="T131" s="220">
        <v>25.60217382898054</v>
      </c>
      <c r="U131" s="217"/>
      <c r="V131" s="220">
        <v>27.910640325915939</v>
      </c>
      <c r="W131" s="217"/>
      <c r="X131" s="250">
        <v>15.527020590393175</v>
      </c>
      <c r="Y131" s="247"/>
      <c r="Z131" s="250">
        <v>16.872132917742022</v>
      </c>
      <c r="AA131" s="247"/>
      <c r="AB131" s="250">
        <v>36.145798907826197</v>
      </c>
      <c r="AC131" s="247"/>
      <c r="AD131" s="250">
        <v>18.558569498626269</v>
      </c>
      <c r="AE131" s="247"/>
      <c r="AF131" s="250">
        <v>27.011392640345271</v>
      </c>
      <c r="AG131" s="247"/>
      <c r="AH131" s="250">
        <v>28.876074947320465</v>
      </c>
      <c r="AI131" s="247"/>
      <c r="AJ131" s="235">
        <v>19.319292163439407</v>
      </c>
      <c r="AK131" s="232"/>
      <c r="AL131" s="235">
        <v>18.277583701734319</v>
      </c>
      <c r="AM131" s="232"/>
      <c r="AN131" s="235">
        <v>38.367093814534165</v>
      </c>
      <c r="AO131" s="232"/>
      <c r="AP131" s="235">
        <v>28.533132525434198</v>
      </c>
      <c r="AQ131" s="232"/>
      <c r="AR131" s="235">
        <v>29.687542259262266</v>
      </c>
      <c r="AS131" s="232"/>
      <c r="AT131" s="235">
        <v>30.503635629061474</v>
      </c>
      <c r="AU131" s="232"/>
      <c r="AV131" s="266">
        <v>20.580043377660985</v>
      </c>
      <c r="AW131" s="263"/>
      <c r="AX131" s="266">
        <v>21.064693569398958</v>
      </c>
      <c r="AY131" s="263"/>
      <c r="AZ131" s="266">
        <v>25.568286222181847</v>
      </c>
      <c r="BA131" s="263"/>
      <c r="BB131" s="266">
        <v>22.195240977706451</v>
      </c>
      <c r="BC131" s="263"/>
      <c r="BD131" s="266">
        <v>15.752539006417702</v>
      </c>
      <c r="BE131" s="263"/>
      <c r="BF131" s="266">
        <v>27.978647009456569</v>
      </c>
      <c r="BG131" s="263"/>
      <c r="BH131" s="266">
        <v>21.178392729500661</v>
      </c>
      <c r="BI131" s="263"/>
      <c r="BJ131" s="266">
        <v>30.406950303448493</v>
      </c>
      <c r="BK131" s="263"/>
      <c r="BL131" s="192">
        <v>24.165850879369007</v>
      </c>
      <c r="BM131" s="189"/>
      <c r="BN131" s="192">
        <v>26.347983764424132</v>
      </c>
      <c r="BO131" s="189"/>
      <c r="BP131" s="192">
        <v>21.278483490326796</v>
      </c>
      <c r="BQ131" s="189"/>
      <c r="BR131" s="192">
        <v>21.548579565345001</v>
      </c>
      <c r="BS131" s="189"/>
      <c r="BT131" s="206">
        <v>22.350990502977588</v>
      </c>
      <c r="BU131" s="203"/>
      <c r="BV131" s="206">
        <v>20.362764229040049</v>
      </c>
      <c r="BW131" s="203"/>
      <c r="BX131" s="206">
        <v>20.807428851660259</v>
      </c>
      <c r="BY131" s="203"/>
      <c r="BZ131" s="206">
        <v>25.323746376025941</v>
      </c>
      <c r="CA131" s="203"/>
      <c r="CB131" s="206">
        <v>21.984882909501039</v>
      </c>
      <c r="CC131" s="203"/>
      <c r="CD131" s="206">
        <v>25.023230046711909</v>
      </c>
      <c r="CE131" s="203"/>
      <c r="CF131" s="206">
        <v>27.98096150710866</v>
      </c>
      <c r="CG131" s="203"/>
      <c r="CH131" s="206">
        <v>21.202019880321739</v>
      </c>
      <c r="CI131" s="203"/>
      <c r="CJ131" s="220">
        <v>25.770140706980641</v>
      </c>
      <c r="CK131" s="217"/>
      <c r="CL131" s="220">
        <v>26.019288239287004</v>
      </c>
      <c r="CM131" s="217"/>
      <c r="CN131" s="220">
        <v>17.935954445119805</v>
      </c>
      <c r="CO131" s="217"/>
      <c r="CP131" s="220">
        <v>17.328902987135816</v>
      </c>
      <c r="CQ131" s="217"/>
      <c r="CR131" s="250">
        <v>27.947173143072948</v>
      </c>
      <c r="CS131" s="247"/>
      <c r="CT131" s="250">
        <v>27.933817134547112</v>
      </c>
      <c r="CU131" s="247"/>
      <c r="CV131" s="250">
        <v>18.549194528593198</v>
      </c>
      <c r="CW131" s="247"/>
      <c r="CX131" s="250">
        <v>19.571901195280969</v>
      </c>
      <c r="CY131" s="247"/>
      <c r="CZ131" s="235">
        <v>23.816771659276842</v>
      </c>
      <c r="DA131" s="232"/>
      <c r="DB131" s="235">
        <v>21.7316085491919</v>
      </c>
      <c r="DC131" s="232"/>
      <c r="DD131" s="235">
        <v>20.634633175959578</v>
      </c>
      <c r="DE131" s="232"/>
      <c r="DF131" s="235">
        <v>27.251286102324858</v>
      </c>
      <c r="DG131" s="232"/>
      <c r="DH131" s="235">
        <v>17.467942801836838</v>
      </c>
      <c r="DI131" s="232"/>
      <c r="DJ131" s="235">
        <v>27.30795035881178</v>
      </c>
      <c r="DK131" s="232"/>
      <c r="DL131" s="266">
        <v>15.527020590393175</v>
      </c>
      <c r="DM131" s="263"/>
      <c r="DN131" s="266">
        <v>18.558569498626269</v>
      </c>
      <c r="DO131" s="263"/>
      <c r="DP131" s="266">
        <v>36.145798907826197</v>
      </c>
      <c r="DQ131" s="263"/>
      <c r="DR131" s="266">
        <v>28.876074947320465</v>
      </c>
      <c r="DS131" s="263"/>
      <c r="DT131" s="266">
        <v>16.872132917742022</v>
      </c>
      <c r="DU131" s="263"/>
      <c r="DV131" s="266">
        <v>27.011392640345271</v>
      </c>
      <c r="DW131" s="263"/>
      <c r="DX131" s="192">
        <v>16.063710277257687</v>
      </c>
      <c r="DY131" s="189"/>
      <c r="DZ131" s="192">
        <v>18.483425614739236</v>
      </c>
      <c r="EA131" s="189"/>
      <c r="EB131" s="192">
        <v>23.496142533762455</v>
      </c>
      <c r="EC131" s="189"/>
      <c r="ED131" s="192">
        <v>22.184143609514756</v>
      </c>
      <c r="EE131" s="189"/>
      <c r="EF131" s="192">
        <v>26.876862666503367</v>
      </c>
      <c r="EG131" s="189"/>
      <c r="EH131" s="192">
        <v>30.117968664000291</v>
      </c>
      <c r="EI131" s="189"/>
    </row>
    <row r="132" spans="1:139" outlineLevel="1" x14ac:dyDescent="0.2">
      <c r="A132"/>
      <c r="B132" s="11" t="s">
        <v>97</v>
      </c>
      <c r="C132" s="12">
        <v>6.727958966153853</v>
      </c>
      <c r="D132" s="193">
        <v>6.7595205165676635</v>
      </c>
      <c r="E132" s="189"/>
      <c r="F132" s="193">
        <v>6.6961210740796639</v>
      </c>
      <c r="G132" s="189"/>
      <c r="H132" s="207">
        <v>0</v>
      </c>
      <c r="I132" s="203"/>
      <c r="J132" s="207">
        <v>0</v>
      </c>
      <c r="K132" s="203"/>
      <c r="L132" s="207">
        <v>6.7595205165676635</v>
      </c>
      <c r="M132" s="203"/>
      <c r="N132" s="207">
        <v>6.6961210740796639</v>
      </c>
      <c r="O132" s="203"/>
      <c r="P132" s="221">
        <v>3.8299710156055053</v>
      </c>
      <c r="Q132" s="217"/>
      <c r="R132" s="221">
        <v>2.6495018703477462</v>
      </c>
      <c r="S132" s="217"/>
      <c r="T132" s="221">
        <v>7.2432651048213845</v>
      </c>
      <c r="U132" s="217"/>
      <c r="V132" s="221">
        <v>7.5503660173207647</v>
      </c>
      <c r="W132" s="217"/>
      <c r="X132" s="251">
        <v>7.2233933890191127</v>
      </c>
      <c r="Y132" s="247"/>
      <c r="Z132" s="251">
        <v>5.9826768879664876</v>
      </c>
      <c r="AA132" s="247"/>
      <c r="AB132" s="251">
        <v>9.2629203846214381</v>
      </c>
      <c r="AC132" s="247"/>
      <c r="AD132" s="251">
        <v>6.5921866856914439</v>
      </c>
      <c r="AE132" s="247"/>
      <c r="AF132" s="251">
        <v>4.3889772917885042</v>
      </c>
      <c r="AG132" s="247"/>
      <c r="AH132" s="251">
        <v>8.1095164872714847</v>
      </c>
      <c r="AI132" s="247"/>
      <c r="AJ132" s="236">
        <v>8.4068510010616624</v>
      </c>
      <c r="AK132" s="232"/>
      <c r="AL132" s="236">
        <v>5.7181279783066659</v>
      </c>
      <c r="AM132" s="232"/>
      <c r="AN132" s="236">
        <v>9.8321615825838933</v>
      </c>
      <c r="AO132" s="232"/>
      <c r="AP132" s="236">
        <v>10.135249721114546</v>
      </c>
      <c r="AQ132" s="232"/>
      <c r="AR132" s="236">
        <v>3.980645418870588</v>
      </c>
      <c r="AS132" s="232"/>
      <c r="AT132" s="236">
        <v>7.8969149075774219</v>
      </c>
      <c r="AU132" s="232"/>
      <c r="AV132" s="267">
        <v>6.8375366512252498</v>
      </c>
      <c r="AW132" s="263"/>
      <c r="AX132" s="267">
        <v>9.2829007829842425</v>
      </c>
      <c r="AY132" s="263"/>
      <c r="AZ132" s="267">
        <v>8.0962979326975688</v>
      </c>
      <c r="BA132" s="263"/>
      <c r="BB132" s="267">
        <v>4.73380069541225</v>
      </c>
      <c r="BC132" s="263"/>
      <c r="BD132" s="267">
        <v>3.8122132015531243</v>
      </c>
      <c r="BE132" s="263"/>
      <c r="BF132" s="267">
        <v>9.8699613258234482</v>
      </c>
      <c r="BG132" s="263"/>
      <c r="BH132" s="267">
        <v>0</v>
      </c>
      <c r="BI132" s="263"/>
      <c r="BJ132" s="267">
        <v>2.9789703137986732</v>
      </c>
      <c r="BK132" s="263"/>
      <c r="BL132" s="193">
        <v>7.5233458974093805</v>
      </c>
      <c r="BM132" s="189"/>
      <c r="BN132" s="193">
        <v>7.8317088568871771</v>
      </c>
      <c r="BO132" s="189"/>
      <c r="BP132" s="193">
        <v>6.1861566677096391</v>
      </c>
      <c r="BQ132" s="189"/>
      <c r="BR132" s="193">
        <v>5.9129716293279682</v>
      </c>
      <c r="BS132" s="189"/>
      <c r="BT132" s="207">
        <v>10.887719846519785</v>
      </c>
      <c r="BU132" s="203"/>
      <c r="BV132" s="207">
        <v>8.5540149059993649</v>
      </c>
      <c r="BW132" s="203"/>
      <c r="BX132" s="207">
        <v>6.0791925711483401</v>
      </c>
      <c r="BY132" s="203"/>
      <c r="BZ132" s="207">
        <v>6.6424857188317112</v>
      </c>
      <c r="CA132" s="203"/>
      <c r="CB132" s="207">
        <v>3.4012909294191038</v>
      </c>
      <c r="CC132" s="203"/>
      <c r="CD132" s="207">
        <v>6.0813618221422008</v>
      </c>
      <c r="CE132" s="203"/>
      <c r="CF132" s="207">
        <v>9.7243710676129353</v>
      </c>
      <c r="CG132" s="203"/>
      <c r="CH132" s="207">
        <v>6.0872426935040398</v>
      </c>
      <c r="CI132" s="203"/>
      <c r="CJ132" s="221">
        <v>7.3425349991296835</v>
      </c>
      <c r="CK132" s="217"/>
      <c r="CL132" s="221">
        <v>7.5965513897581909</v>
      </c>
      <c r="CM132" s="217"/>
      <c r="CN132" s="221">
        <v>6.6476054896189893</v>
      </c>
      <c r="CO132" s="217"/>
      <c r="CP132" s="221">
        <v>4.1460842491149075</v>
      </c>
      <c r="CQ132" s="217"/>
      <c r="CR132" s="251">
        <v>10.212205652693143</v>
      </c>
      <c r="CS132" s="247"/>
      <c r="CT132" s="251">
        <v>8.7184020302542091</v>
      </c>
      <c r="CU132" s="247"/>
      <c r="CV132" s="251">
        <v>4.2084851462569635</v>
      </c>
      <c r="CW132" s="247"/>
      <c r="CX132" s="251">
        <v>4.2374747749146229</v>
      </c>
      <c r="CY132" s="247"/>
      <c r="CZ132" s="236">
        <v>6.5184765345944253</v>
      </c>
      <c r="DA132" s="232"/>
      <c r="DB132" s="236">
        <v>4.8867468688976459</v>
      </c>
      <c r="DC132" s="232"/>
      <c r="DD132" s="236">
        <v>8.4104408570903129</v>
      </c>
      <c r="DE132" s="232"/>
      <c r="DF132" s="236">
        <v>12.930144166485906</v>
      </c>
      <c r="DG132" s="232"/>
      <c r="DH132" s="236">
        <v>2.5220415808624663</v>
      </c>
      <c r="DI132" s="232"/>
      <c r="DJ132" s="236">
        <v>10.497157363194425</v>
      </c>
      <c r="DK132" s="232"/>
      <c r="DL132" s="267">
        <v>7.2233933890191127</v>
      </c>
      <c r="DM132" s="263"/>
      <c r="DN132" s="267">
        <v>6.5921866856914439</v>
      </c>
      <c r="DO132" s="263"/>
      <c r="DP132" s="267">
        <v>9.2629203846214381</v>
      </c>
      <c r="DQ132" s="263"/>
      <c r="DR132" s="267">
        <v>8.1095164872714847</v>
      </c>
      <c r="DS132" s="263"/>
      <c r="DT132" s="267">
        <v>5.9826768879664876</v>
      </c>
      <c r="DU132" s="263"/>
      <c r="DV132" s="267">
        <v>4.3889772917885042</v>
      </c>
      <c r="DW132" s="263"/>
      <c r="DX132" s="193">
        <v>3.721254712867732</v>
      </c>
      <c r="DY132" s="189"/>
      <c r="DZ132" s="193">
        <v>6.7018061365120047</v>
      </c>
      <c r="EA132" s="189"/>
      <c r="EB132" s="193">
        <v>6.5916629452255195</v>
      </c>
      <c r="EC132" s="189"/>
      <c r="ED132" s="193">
        <v>7.1716596872933742</v>
      </c>
      <c r="EE132" s="189"/>
      <c r="EF132" s="193">
        <v>9.7601869068694587</v>
      </c>
      <c r="EG132" s="189"/>
      <c r="EH132" s="193">
        <v>6.0276850255017793</v>
      </c>
      <c r="EI132" s="189"/>
    </row>
    <row r="133" spans="1:139" outlineLevel="1" x14ac:dyDescent="0.2">
      <c r="A133"/>
      <c r="B133" s="11" t="s">
        <v>98</v>
      </c>
      <c r="C133" s="12">
        <v>16.281899222486977</v>
      </c>
      <c r="D133" s="193">
        <v>15.757016678110404</v>
      </c>
      <c r="E133" s="189"/>
      <c r="F133" s="193">
        <v>16.811377450913131</v>
      </c>
      <c r="G133" s="189"/>
      <c r="H133" s="207">
        <v>0</v>
      </c>
      <c r="I133" s="203"/>
      <c r="J133" s="207">
        <v>0</v>
      </c>
      <c r="K133" s="203"/>
      <c r="L133" s="207">
        <v>15.757016678110404</v>
      </c>
      <c r="M133" s="203"/>
      <c r="N133" s="207">
        <v>16.811377450913131</v>
      </c>
      <c r="O133" s="203"/>
      <c r="P133" s="221">
        <v>0</v>
      </c>
      <c r="Q133" s="217"/>
      <c r="R133" s="221">
        <v>0</v>
      </c>
      <c r="S133" s="217"/>
      <c r="T133" s="221">
        <v>18.358908724159157</v>
      </c>
      <c r="U133" s="217"/>
      <c r="V133" s="221">
        <v>20.360274308595173</v>
      </c>
      <c r="W133" s="217"/>
      <c r="X133" s="251">
        <v>8.3036272013740628</v>
      </c>
      <c r="Y133" s="247"/>
      <c r="Z133" s="251">
        <v>10.889456029775534</v>
      </c>
      <c r="AA133" s="247"/>
      <c r="AB133" s="251">
        <v>26.882878523204759</v>
      </c>
      <c r="AC133" s="247"/>
      <c r="AD133" s="251">
        <v>11.966382812934825</v>
      </c>
      <c r="AE133" s="247"/>
      <c r="AF133" s="251">
        <v>22.622415348556768</v>
      </c>
      <c r="AG133" s="247" t="s">
        <v>109</v>
      </c>
      <c r="AH133" s="251">
        <v>20.76655846004898</v>
      </c>
      <c r="AI133" s="247"/>
      <c r="AJ133" s="236">
        <v>10.912441162377746</v>
      </c>
      <c r="AK133" s="232"/>
      <c r="AL133" s="236">
        <v>12.559455723427654</v>
      </c>
      <c r="AM133" s="232"/>
      <c r="AN133" s="236">
        <v>28.534932231950272</v>
      </c>
      <c r="AO133" s="232"/>
      <c r="AP133" s="236">
        <v>18.397882804319654</v>
      </c>
      <c r="AQ133" s="232"/>
      <c r="AR133" s="236">
        <v>25.706896840391678</v>
      </c>
      <c r="AS133" s="232" t="s">
        <v>193</v>
      </c>
      <c r="AT133" s="236">
        <v>22.606720721484052</v>
      </c>
      <c r="AU133" s="232"/>
      <c r="AV133" s="267">
        <v>13.742506726435737</v>
      </c>
      <c r="AW133" s="263"/>
      <c r="AX133" s="267">
        <v>11.781792786414716</v>
      </c>
      <c r="AY133" s="263"/>
      <c r="AZ133" s="267">
        <v>17.47198828948428</v>
      </c>
      <c r="BA133" s="263"/>
      <c r="BB133" s="267">
        <v>17.461440282294202</v>
      </c>
      <c r="BC133" s="263"/>
      <c r="BD133" s="267">
        <v>11.940325804864578</v>
      </c>
      <c r="BE133" s="263"/>
      <c r="BF133" s="267">
        <v>18.108685683633123</v>
      </c>
      <c r="BG133" s="263"/>
      <c r="BH133" s="267">
        <v>21.178392729500661</v>
      </c>
      <c r="BI133" s="263"/>
      <c r="BJ133" s="267">
        <v>27.42797998964982</v>
      </c>
      <c r="BK133" s="263"/>
      <c r="BL133" s="193">
        <v>16.642504981959625</v>
      </c>
      <c r="BM133" s="189"/>
      <c r="BN133" s="193">
        <v>18.516274907536957</v>
      </c>
      <c r="BO133" s="189"/>
      <c r="BP133" s="193">
        <v>15.092326822617155</v>
      </c>
      <c r="BQ133" s="189"/>
      <c r="BR133" s="193">
        <v>15.635607936017033</v>
      </c>
      <c r="BS133" s="189"/>
      <c r="BT133" s="207">
        <v>11.463270656457802</v>
      </c>
      <c r="BU133" s="203"/>
      <c r="BV133" s="207">
        <v>11.808749323040686</v>
      </c>
      <c r="BW133" s="203"/>
      <c r="BX133" s="207">
        <v>14.72823628051192</v>
      </c>
      <c r="BY133" s="203"/>
      <c r="BZ133" s="207">
        <v>18.68126065719423</v>
      </c>
      <c r="CA133" s="203"/>
      <c r="CB133" s="207">
        <v>18.583591980081934</v>
      </c>
      <c r="CC133" s="203"/>
      <c r="CD133" s="207">
        <v>18.94186822456971</v>
      </c>
      <c r="CE133" s="203"/>
      <c r="CF133" s="207">
        <v>18.256590439495724</v>
      </c>
      <c r="CG133" s="203"/>
      <c r="CH133" s="207">
        <v>15.114777186817699</v>
      </c>
      <c r="CI133" s="203"/>
      <c r="CJ133" s="221">
        <v>18.427605707850958</v>
      </c>
      <c r="CK133" s="217"/>
      <c r="CL133" s="221">
        <v>18.42273684952881</v>
      </c>
      <c r="CM133" s="217"/>
      <c r="CN133" s="221">
        <v>11.288348955500815</v>
      </c>
      <c r="CO133" s="217"/>
      <c r="CP133" s="221">
        <v>13.182818738020908</v>
      </c>
      <c r="CQ133" s="217"/>
      <c r="CR133" s="251">
        <v>17.734967490379805</v>
      </c>
      <c r="CS133" s="247"/>
      <c r="CT133" s="251">
        <v>19.215415104292905</v>
      </c>
      <c r="CU133" s="247"/>
      <c r="CV133" s="251">
        <v>14.340709382336236</v>
      </c>
      <c r="CW133" s="247"/>
      <c r="CX133" s="251">
        <v>15.334426420366345</v>
      </c>
      <c r="CY133" s="247"/>
      <c r="CZ133" s="236">
        <v>17.298295124682415</v>
      </c>
      <c r="DA133" s="232"/>
      <c r="DB133" s="236">
        <v>16.844861680294255</v>
      </c>
      <c r="DC133" s="232"/>
      <c r="DD133" s="236">
        <v>12.224192318869267</v>
      </c>
      <c r="DE133" s="232"/>
      <c r="DF133" s="236">
        <v>14.321141935838954</v>
      </c>
      <c r="DG133" s="232"/>
      <c r="DH133" s="236">
        <v>14.94590122097437</v>
      </c>
      <c r="DI133" s="232"/>
      <c r="DJ133" s="236">
        <v>16.810792995617355</v>
      </c>
      <c r="DK133" s="232"/>
      <c r="DL133" s="267">
        <v>8.3036272013740628</v>
      </c>
      <c r="DM133" s="263"/>
      <c r="DN133" s="267">
        <v>11.966382812934825</v>
      </c>
      <c r="DO133" s="263"/>
      <c r="DP133" s="267">
        <v>26.882878523204759</v>
      </c>
      <c r="DQ133" s="263"/>
      <c r="DR133" s="267">
        <v>20.76655846004898</v>
      </c>
      <c r="DS133" s="263"/>
      <c r="DT133" s="267">
        <v>10.889456029775534</v>
      </c>
      <c r="DU133" s="263"/>
      <c r="DV133" s="267">
        <v>22.622415348556768</v>
      </c>
      <c r="DW133" s="263" t="s">
        <v>232</v>
      </c>
      <c r="DX133" s="193">
        <v>12.342455564389956</v>
      </c>
      <c r="DY133" s="189"/>
      <c r="DZ133" s="193">
        <v>11.781619478227229</v>
      </c>
      <c r="EA133" s="189"/>
      <c r="EB133" s="193">
        <v>16.904479588536933</v>
      </c>
      <c r="EC133" s="189"/>
      <c r="ED133" s="193">
        <v>15.012483922221382</v>
      </c>
      <c r="EE133" s="189"/>
      <c r="EF133" s="193">
        <v>17.116675759633907</v>
      </c>
      <c r="EG133" s="189"/>
      <c r="EH133" s="193">
        <v>24.090283638498512</v>
      </c>
      <c r="EI133" s="189"/>
    </row>
    <row r="134" spans="1:139" outlineLevel="1" x14ac:dyDescent="0.2">
      <c r="A134"/>
      <c r="B134"/>
      <c r="E134" s="187"/>
      <c r="G134" s="187"/>
      <c r="I134" s="201"/>
      <c r="K134" s="201"/>
      <c r="M134" s="201"/>
      <c r="O134" s="201"/>
      <c r="Q134" s="215"/>
      <c r="S134" s="215"/>
      <c r="U134" s="215"/>
      <c r="W134" s="215"/>
      <c r="Y134" s="245"/>
      <c r="AA134" s="245"/>
      <c r="AC134" s="245"/>
      <c r="AE134" s="245"/>
      <c r="AG134" s="245"/>
      <c r="AI134" s="245"/>
      <c r="AK134" s="230"/>
      <c r="AM134" s="230"/>
      <c r="AO134" s="230"/>
      <c r="AQ134" s="230"/>
      <c r="AS134" s="230"/>
      <c r="AU134" s="230"/>
      <c r="AW134" s="261"/>
      <c r="AY134" s="261"/>
      <c r="BA134" s="261"/>
      <c r="BC134" s="261"/>
      <c r="BE134" s="261"/>
      <c r="BG134" s="261"/>
      <c r="BI134" s="261"/>
      <c r="BK134" s="261"/>
      <c r="BM134" s="187"/>
      <c r="BO134" s="187"/>
      <c r="BQ134" s="187"/>
      <c r="BS134" s="187"/>
      <c r="BU134" s="201"/>
      <c r="BW134" s="201"/>
      <c r="BY134" s="201"/>
      <c r="CA134" s="201"/>
      <c r="CC134" s="201"/>
      <c r="CE134" s="201"/>
      <c r="CG134" s="201"/>
      <c r="CI134" s="201"/>
      <c r="CK134" s="215"/>
      <c r="CM134" s="215"/>
      <c r="CO134" s="215"/>
      <c r="CQ134" s="215"/>
      <c r="CS134" s="245"/>
      <c r="CU134" s="245"/>
      <c r="CW134" s="245"/>
      <c r="CY134" s="245"/>
      <c r="DA134" s="230"/>
      <c r="DC134" s="230"/>
      <c r="DE134" s="230"/>
      <c r="DG134" s="230"/>
      <c r="DI134" s="230"/>
      <c r="DK134" s="230"/>
      <c r="DM134" s="261"/>
      <c r="DO134" s="261"/>
      <c r="DQ134" s="261"/>
      <c r="DS134" s="261"/>
      <c r="DU134" s="261"/>
      <c r="DW134" s="261"/>
      <c r="DY134" s="187"/>
      <c r="EA134" s="187"/>
      <c r="EC134" s="187"/>
      <c r="EE134" s="187"/>
      <c r="EG134" s="187"/>
      <c r="EI134" s="187"/>
    </row>
    <row r="135" spans="1:139" x14ac:dyDescent="0.2">
      <c r="A135"/>
      <c r="B135"/>
      <c r="E135" s="187"/>
      <c r="G135" s="187"/>
      <c r="I135" s="201"/>
      <c r="K135" s="201"/>
      <c r="M135" s="201"/>
      <c r="O135" s="201"/>
      <c r="Q135" s="215"/>
      <c r="S135" s="215"/>
      <c r="U135" s="215"/>
      <c r="W135" s="215"/>
      <c r="Y135" s="245"/>
      <c r="AA135" s="245"/>
      <c r="AC135" s="245"/>
      <c r="AE135" s="245"/>
      <c r="AG135" s="245"/>
      <c r="AI135" s="245"/>
      <c r="AK135" s="230"/>
      <c r="AM135" s="230"/>
      <c r="AO135" s="230"/>
      <c r="AQ135" s="230"/>
      <c r="AS135" s="230"/>
      <c r="AU135" s="230"/>
      <c r="AW135" s="261"/>
      <c r="AY135" s="261"/>
      <c r="BA135" s="261"/>
      <c r="BC135" s="261"/>
      <c r="BE135" s="261"/>
      <c r="BG135" s="261"/>
      <c r="BI135" s="261"/>
      <c r="BK135" s="261"/>
      <c r="BM135" s="187"/>
      <c r="BO135" s="187"/>
      <c r="BQ135" s="187"/>
      <c r="BS135" s="187"/>
      <c r="BU135" s="201"/>
      <c r="BW135" s="201"/>
      <c r="BY135" s="201"/>
      <c r="CA135" s="201"/>
      <c r="CC135" s="201"/>
      <c r="CE135" s="201"/>
      <c r="CG135" s="201"/>
      <c r="CI135" s="201"/>
      <c r="CK135" s="215"/>
      <c r="CM135" s="215"/>
      <c r="CO135" s="215"/>
      <c r="CQ135" s="215"/>
      <c r="CS135" s="245"/>
      <c r="CU135" s="245"/>
      <c r="CW135" s="245"/>
      <c r="CY135" s="245"/>
      <c r="DA135" s="230"/>
      <c r="DC135" s="230"/>
      <c r="DE135" s="230"/>
      <c r="DG135" s="230"/>
      <c r="DI135" s="230"/>
      <c r="DK135" s="230"/>
      <c r="DM135" s="261"/>
      <c r="DO135" s="261"/>
      <c r="DQ135" s="261"/>
      <c r="DS135" s="261"/>
      <c r="DU135" s="261"/>
      <c r="DW135" s="261"/>
      <c r="DY135" s="187"/>
      <c r="EA135" s="187"/>
      <c r="EC135" s="187"/>
      <c r="EE135" s="187"/>
      <c r="EG135" s="187"/>
      <c r="EI135" s="187"/>
    </row>
    <row r="136" spans="1:139" x14ac:dyDescent="0.2">
      <c r="A136" s="6" t="s">
        <v>146</v>
      </c>
      <c r="B136" s="7" t="s">
        <v>147</v>
      </c>
      <c r="E136" s="187"/>
      <c r="G136" s="187"/>
      <c r="I136" s="201"/>
      <c r="K136" s="201"/>
      <c r="M136" s="201"/>
      <c r="O136" s="201"/>
      <c r="Q136" s="215"/>
      <c r="S136" s="215"/>
      <c r="U136" s="215"/>
      <c r="W136" s="215"/>
      <c r="Y136" s="245"/>
      <c r="AA136" s="245"/>
      <c r="AC136" s="245"/>
      <c r="AE136" s="245"/>
      <c r="AG136" s="245"/>
      <c r="AI136" s="245"/>
      <c r="AK136" s="230"/>
      <c r="AM136" s="230"/>
      <c r="AO136" s="230"/>
      <c r="AQ136" s="230"/>
      <c r="AS136" s="230"/>
      <c r="AU136" s="230"/>
      <c r="AW136" s="261"/>
      <c r="AY136" s="261"/>
      <c r="BA136" s="261"/>
      <c r="BC136" s="261"/>
      <c r="BE136" s="261"/>
      <c r="BG136" s="261"/>
      <c r="BI136" s="261"/>
      <c r="BK136" s="261"/>
      <c r="BM136" s="187"/>
      <c r="BO136" s="187"/>
      <c r="BQ136" s="187"/>
      <c r="BS136" s="187"/>
      <c r="BU136" s="201"/>
      <c r="BW136" s="201"/>
      <c r="BY136" s="201"/>
      <c r="CA136" s="201"/>
      <c r="CC136" s="201"/>
      <c r="CE136" s="201"/>
      <c r="CG136" s="201"/>
      <c r="CI136" s="201"/>
      <c r="CK136" s="215"/>
      <c r="CM136" s="215"/>
      <c r="CO136" s="215"/>
      <c r="CQ136" s="215"/>
      <c r="CS136" s="245"/>
      <c r="CU136" s="245"/>
      <c r="CW136" s="245"/>
      <c r="CY136" s="245"/>
      <c r="DA136" s="230"/>
      <c r="DC136" s="230"/>
      <c r="DE136" s="230"/>
      <c r="DG136" s="230"/>
      <c r="DI136" s="230"/>
      <c r="DK136" s="230"/>
      <c r="DM136" s="261"/>
      <c r="DO136" s="261"/>
      <c r="DQ136" s="261"/>
      <c r="DS136" s="261"/>
      <c r="DU136" s="261"/>
      <c r="DW136" s="261"/>
      <c r="DY136" s="187"/>
      <c r="EA136" s="187"/>
      <c r="EC136" s="187"/>
      <c r="EE136" s="187"/>
      <c r="EG136" s="187"/>
      <c r="EI136" s="187"/>
    </row>
    <row r="137" spans="1:139" outlineLevel="1" x14ac:dyDescent="0.2">
      <c r="A137"/>
      <c r="B137" s="9" t="s">
        <v>55</v>
      </c>
      <c r="C137" s="8">
        <f>1883.05224610559+89.9477538944136</f>
        <v>1973.0000000000036</v>
      </c>
      <c r="D137" s="188">
        <f>967.527394309411+37.4726056905894</f>
        <v>1005.0000000000003</v>
      </c>
      <c r="E137" s="189"/>
      <c r="F137" s="188">
        <f>915.674025315765+52.3259746842352</f>
        <v>968.00000000000023</v>
      </c>
      <c r="G137" s="189"/>
      <c r="H137" s="202">
        <f>614.914712703891+25.0852872961091</f>
        <v>640.00000000000011</v>
      </c>
      <c r="I137" s="203"/>
      <c r="J137" s="202">
        <f>571.592789928119+29.4072100718807</f>
        <v>600.99999999999977</v>
      </c>
      <c r="K137" s="203"/>
      <c r="L137" s="202">
        <f>352.928444129701+12.0715558702993</f>
        <v>365.00000000000028</v>
      </c>
      <c r="M137" s="203"/>
      <c r="N137" s="202">
        <f>344.344915978557+22.6550840214431</f>
        <v>367.00000000000011</v>
      </c>
      <c r="O137" s="203"/>
      <c r="P137" s="216">
        <f>666.134795233083+26.8652047669171</f>
        <v>693.00000000000011</v>
      </c>
      <c r="Q137" s="217"/>
      <c r="R137" s="216">
        <f>628.589973530577+34.410026469423</f>
        <v>663</v>
      </c>
      <c r="S137" s="217"/>
      <c r="T137" s="216">
        <f>301.732918900987+10.2670810990132</f>
        <v>312.00000000000017</v>
      </c>
      <c r="U137" s="217"/>
      <c r="V137" s="216">
        <f>287.140440951688+17.8595590483123</f>
        <v>305.00000000000028</v>
      </c>
      <c r="W137" s="217"/>
      <c r="X137" s="246">
        <f>108.171904333963+4.82809566603692</f>
        <v>112.99999999999991</v>
      </c>
      <c r="Y137" s="247"/>
      <c r="Z137" s="246">
        <f>100.435584999034+3.56441500096641</f>
        <v>104.00000000000041</v>
      </c>
      <c r="AA137" s="247"/>
      <c r="AB137" s="246">
        <f>97.1245187341028+1.87548126589725</f>
        <v>99.000000000000043</v>
      </c>
      <c r="AC137" s="247"/>
      <c r="AD137" s="246">
        <f>89.7922517565178+7.20774824348219</f>
        <v>96.999999999999986</v>
      </c>
      <c r="AE137" s="247"/>
      <c r="AF137" s="246">
        <f>83.2058580005259+5.79414199947415</f>
        <v>89.000000000000043</v>
      </c>
      <c r="AG137" s="247"/>
      <c r="AH137" s="246">
        <f>105.139139086837+4.86086091316319</f>
        <v>110.0000000000002</v>
      </c>
      <c r="AI137" s="247"/>
      <c r="AJ137" s="231">
        <f>81.347414494191+3.65258550580896</f>
        <v>84.999999999999957</v>
      </c>
      <c r="AK137" s="232"/>
      <c r="AL137" s="231">
        <f>86.7773955885698+3.22260441143024</f>
        <v>90.000000000000043</v>
      </c>
      <c r="AM137" s="232"/>
      <c r="AN137" s="231">
        <f>91.2486792832434+1.75132071675662</f>
        <v>93.000000000000028</v>
      </c>
      <c r="AO137" s="232"/>
      <c r="AP137" s="231">
        <f>61.5558959595598+3.44410404044016</f>
        <v>64.999999999999957</v>
      </c>
      <c r="AQ137" s="232"/>
      <c r="AR137" s="231">
        <f>72.5600476663241+5.43995233367595</f>
        <v>78.000000000000043</v>
      </c>
      <c r="AS137" s="232"/>
      <c r="AT137" s="231">
        <f>96.2370441283936+4.76295587160638</f>
        <v>100.99999999999999</v>
      </c>
      <c r="AU137" s="232"/>
      <c r="AV137" s="262">
        <f>197.715853616343+7.284146383657</f>
        <v>205</v>
      </c>
      <c r="AW137" s="263"/>
      <c r="AX137" s="262">
        <f>222.310601003113+7.68939899688726</f>
        <v>230.00000000000026</v>
      </c>
      <c r="AY137" s="263"/>
      <c r="AZ137" s="262">
        <f>392.403354729256+13.5966452707435</f>
        <v>405.99999999999955</v>
      </c>
      <c r="BA137" s="263"/>
      <c r="BB137" s="262">
        <f>346.728378469888+22.2716215301122</f>
        <v>369.00000000000023</v>
      </c>
      <c r="BC137" s="263"/>
      <c r="BD137" s="262">
        <f>154.550159416201+5.44984058379873</f>
        <v>159.99999999999974</v>
      </c>
      <c r="BE137" s="263"/>
      <c r="BF137" s="262">
        <f>156.704083884388+5.29591611561236</f>
        <v>162.00000000000037</v>
      </c>
      <c r="BG137" s="263"/>
      <c r="BH137" s="262">
        <f>230.339276084846+3.66072391515439</f>
        <v>234.0000000000004</v>
      </c>
      <c r="BI137" s="263"/>
      <c r="BJ137" s="262">
        <f>200.935318042598+6.06468195740226</f>
        <v>207.00000000000026</v>
      </c>
      <c r="BK137" s="263"/>
      <c r="BL137" s="188">
        <f>467.920890025199+23.0791099748013</f>
        <v>491.00000000000034</v>
      </c>
      <c r="BM137" s="189"/>
      <c r="BN137" s="188">
        <f>455.419752172956+21.5802478270436</f>
        <v>476.9999999999996</v>
      </c>
      <c r="BO137" s="189"/>
      <c r="BP137" s="188">
        <f>499.920187868175+14.0798121318251</f>
        <v>514.00000000000011</v>
      </c>
      <c r="BQ137" s="189"/>
      <c r="BR137" s="188">
        <f>460.279012276745+30.7209877232551</f>
        <v>491.00000000000011</v>
      </c>
      <c r="BS137" s="189"/>
      <c r="BT137" s="202">
        <f>199.012276964019+5.98772303598091</f>
        <v>204.99999999999991</v>
      </c>
      <c r="BU137" s="203"/>
      <c r="BV137" s="202">
        <f>181.014059701763+4.98594029823695</f>
        <v>185.99999999999994</v>
      </c>
      <c r="BW137" s="203"/>
      <c r="BX137" s="202">
        <f>358.107365326749+11.8926346732514</f>
        <v>370.0000000000004</v>
      </c>
      <c r="BY137" s="203"/>
      <c r="BZ137" s="202">
        <f>390.539964767126+7.46003523287402</f>
        <v>398</v>
      </c>
      <c r="CA137" s="203"/>
      <c r="CB137" s="202">
        <f>216.489006579472+5.51099342052765</f>
        <v>221.99999999999966</v>
      </c>
      <c r="CC137" s="203"/>
      <c r="CD137" s="202">
        <f>193.528998687179+8.47100131282144</f>
        <v>202.00000000000045</v>
      </c>
      <c r="CE137" s="203"/>
      <c r="CF137" s="202">
        <f>196.54096017015+11.45903982985</f>
        <v>208</v>
      </c>
      <c r="CG137" s="203"/>
      <c r="CH137" s="202">
        <f>168.225931261699+13.7740687383015</f>
        <v>182.00000000000051</v>
      </c>
      <c r="CI137" s="203"/>
      <c r="CJ137" s="216">
        <f>434.967758722076+15.0322412779238</f>
        <v>449.99999999999977</v>
      </c>
      <c r="CK137" s="217"/>
      <c r="CL137" s="216">
        <f>461.320453395883+26.6795466041166</f>
        <v>487.9999999999996</v>
      </c>
      <c r="CM137" s="217"/>
      <c r="CN137" s="216">
        <f>499.832494257641+21.1675057423587</f>
        <v>520.99999999999966</v>
      </c>
      <c r="CO137" s="217"/>
      <c r="CP137" s="216">
        <f>419.228434557519+23.7715654424807</f>
        <v>442.99999999999972</v>
      </c>
      <c r="CQ137" s="217"/>
      <c r="CR137" s="246">
        <f>278.600721225599+9.39927877440061</f>
        <v>287.9999999999996</v>
      </c>
      <c r="CS137" s="247"/>
      <c r="CT137" s="246">
        <f>288.303155214841+11.696844785159</f>
        <v>300</v>
      </c>
      <c r="CU137" s="247"/>
      <c r="CV137" s="246">
        <f>687.2765940079+27.7234059920997</f>
        <v>714.99999999999977</v>
      </c>
      <c r="CW137" s="247"/>
      <c r="CX137" s="246">
        <f>623.292717768491+39.7072822315085</f>
        <v>662.99999999999955</v>
      </c>
      <c r="CY137" s="247"/>
      <c r="CZ137" s="231">
        <f>692.423144809988+22.576855190012</f>
        <v>715</v>
      </c>
      <c r="DA137" s="232"/>
      <c r="DB137" s="231">
        <f>663.537743943924+34.4622560560761</f>
        <v>698.00000000000011</v>
      </c>
      <c r="DC137" s="232"/>
      <c r="DD137" s="231">
        <f>144.910200171351+8.08979982864935</f>
        <v>153.00000000000034</v>
      </c>
      <c r="DE137" s="232"/>
      <c r="DF137" s="231">
        <f>147.583017202747+10.4169827972532</f>
        <v>158.0000000000002</v>
      </c>
      <c r="DG137" s="232"/>
      <c r="DH137" s="231">
        <f>137.928914326619+13.0710856733805</f>
        <v>150.99999999999952</v>
      </c>
      <c r="DI137" s="232"/>
      <c r="DJ137" s="231">
        <f>128.919238413463+7.08076158653716</f>
        <v>136.00000000000017</v>
      </c>
      <c r="DK137" s="232"/>
      <c r="DL137" s="262">
        <f>413.862071051737+17.1379289482628</f>
        <v>430.99999999999983</v>
      </c>
      <c r="DM137" s="263"/>
      <c r="DN137" s="262">
        <f>357.90141607247+21.0985839275298</f>
        <v>378.99999999999977</v>
      </c>
      <c r="DO137" s="263"/>
      <c r="DP137" s="262">
        <f>241.873526237823+8.1264737621774</f>
        <v>250.0000000000004</v>
      </c>
      <c r="DQ137" s="263"/>
      <c r="DR137" s="262">
        <f>256.512738009862+13.4872619901379</f>
        <v>269.99999999999989</v>
      </c>
      <c r="DS137" s="263"/>
      <c r="DT137" s="262">
        <f>225.871080498257+9.12891950174273</f>
        <v>234.99999999999972</v>
      </c>
      <c r="DU137" s="263"/>
      <c r="DV137" s="262">
        <f>199.781557066392+11.2184429336075</f>
        <v>210.99999999999949</v>
      </c>
      <c r="DW137" s="263"/>
      <c r="DX137" s="188">
        <f>259.270985115657+12.7290148843434</f>
        <v>272.00000000000045</v>
      </c>
      <c r="DY137" s="189"/>
      <c r="DZ137" s="188">
        <f>303.859853266346+18.1401467336542</f>
        <v>322.00000000000023</v>
      </c>
      <c r="EA137" s="189"/>
      <c r="EB137" s="188">
        <f>517.130870757899+18.8691292421007</f>
        <v>535.99999999999966</v>
      </c>
      <c r="EC137" s="189"/>
      <c r="ED137" s="188">
        <f>405.927020493304+22.0729795066961</f>
        <v>428.00000000000011</v>
      </c>
      <c r="EE137" s="189"/>
      <c r="EF137" s="188">
        <f>191.387221855571+5.61277814442948</f>
        <v>197.00000000000048</v>
      </c>
      <c r="EG137" s="189"/>
      <c r="EH137" s="188">
        <f>206.572842939928+11.4271570600716</f>
        <v>217.9999999999996</v>
      </c>
      <c r="EI137" s="189"/>
    </row>
    <row r="138" spans="1:139" s="18" customFormat="1" outlineLevel="1" x14ac:dyDescent="0.2">
      <c r="A138"/>
      <c r="B138" s="16"/>
      <c r="C138" s="17" t="s">
        <v>167</v>
      </c>
      <c r="D138" s="190" t="s">
        <v>167</v>
      </c>
      <c r="E138" s="191"/>
      <c r="F138" s="190" t="s">
        <v>167</v>
      </c>
      <c r="G138" s="191"/>
      <c r="H138" s="204" t="s">
        <v>167</v>
      </c>
      <c r="I138" s="205"/>
      <c r="J138" s="204" t="s">
        <v>167</v>
      </c>
      <c r="K138" s="205"/>
      <c r="L138" s="204" t="s">
        <v>167</v>
      </c>
      <c r="M138" s="205"/>
      <c r="N138" s="204" t="s">
        <v>167</v>
      </c>
      <c r="O138" s="205"/>
      <c r="P138" s="218" t="s">
        <v>167</v>
      </c>
      <c r="Q138" s="219"/>
      <c r="R138" s="218" t="s">
        <v>167</v>
      </c>
      <c r="S138" s="219"/>
      <c r="T138" s="218" t="s">
        <v>167</v>
      </c>
      <c r="U138" s="219"/>
      <c r="V138" s="218" t="s">
        <v>167</v>
      </c>
      <c r="W138" s="219"/>
      <c r="X138" s="248" t="s">
        <v>167</v>
      </c>
      <c r="Y138" s="249"/>
      <c r="Z138" s="248" t="s">
        <v>167</v>
      </c>
      <c r="AA138" s="249"/>
      <c r="AB138" s="248" t="s">
        <v>167</v>
      </c>
      <c r="AC138" s="249"/>
      <c r="AD138" s="248" t="s">
        <v>167</v>
      </c>
      <c r="AE138" s="249"/>
      <c r="AF138" s="248" t="s">
        <v>167</v>
      </c>
      <c r="AG138" s="249"/>
      <c r="AH138" s="248" t="s">
        <v>167</v>
      </c>
      <c r="AI138" s="249"/>
      <c r="AJ138" s="233" t="s">
        <v>167</v>
      </c>
      <c r="AK138" s="234"/>
      <c r="AL138" s="233" t="s">
        <v>167</v>
      </c>
      <c r="AM138" s="234"/>
      <c r="AN138" s="233" t="s">
        <v>167</v>
      </c>
      <c r="AO138" s="234"/>
      <c r="AP138" s="233" t="s">
        <v>167</v>
      </c>
      <c r="AQ138" s="234"/>
      <c r="AR138" s="233" t="s">
        <v>167</v>
      </c>
      <c r="AS138" s="234"/>
      <c r="AT138" s="233" t="s">
        <v>167</v>
      </c>
      <c r="AU138" s="234"/>
      <c r="AV138" s="264" t="s">
        <v>167</v>
      </c>
      <c r="AW138" s="265"/>
      <c r="AX138" s="264" t="s">
        <v>167</v>
      </c>
      <c r="AY138" s="265"/>
      <c r="AZ138" s="264" t="s">
        <v>167</v>
      </c>
      <c r="BA138" s="265"/>
      <c r="BB138" s="264" t="s">
        <v>167</v>
      </c>
      <c r="BC138" s="265"/>
      <c r="BD138" s="264" t="s">
        <v>167</v>
      </c>
      <c r="BE138" s="265"/>
      <c r="BF138" s="264" t="s">
        <v>167</v>
      </c>
      <c r="BG138" s="265"/>
      <c r="BH138" s="264" t="s">
        <v>167</v>
      </c>
      <c r="BI138" s="265"/>
      <c r="BJ138" s="264" t="s">
        <v>167</v>
      </c>
      <c r="BK138" s="265"/>
      <c r="BL138" s="190" t="s">
        <v>167</v>
      </c>
      <c r="BM138" s="191"/>
      <c r="BN138" s="190" t="s">
        <v>167</v>
      </c>
      <c r="BO138" s="191"/>
      <c r="BP138" s="190" t="s">
        <v>167</v>
      </c>
      <c r="BQ138" s="191"/>
      <c r="BR138" s="190" t="s">
        <v>167</v>
      </c>
      <c r="BS138" s="191"/>
      <c r="BT138" s="204" t="s">
        <v>167</v>
      </c>
      <c r="BU138" s="205"/>
      <c r="BV138" s="204" t="s">
        <v>167</v>
      </c>
      <c r="BW138" s="205"/>
      <c r="BX138" s="204" t="s">
        <v>167</v>
      </c>
      <c r="BY138" s="205"/>
      <c r="BZ138" s="204" t="s">
        <v>167</v>
      </c>
      <c r="CA138" s="205"/>
      <c r="CB138" s="204" t="s">
        <v>167</v>
      </c>
      <c r="CC138" s="205"/>
      <c r="CD138" s="204" t="s">
        <v>167</v>
      </c>
      <c r="CE138" s="205"/>
      <c r="CF138" s="204" t="s">
        <v>167</v>
      </c>
      <c r="CG138" s="205"/>
      <c r="CH138" s="204" t="s">
        <v>167</v>
      </c>
      <c r="CI138" s="205"/>
      <c r="CJ138" s="218" t="s">
        <v>167</v>
      </c>
      <c r="CK138" s="219"/>
      <c r="CL138" s="218" t="s">
        <v>167</v>
      </c>
      <c r="CM138" s="219"/>
      <c r="CN138" s="218" t="s">
        <v>167</v>
      </c>
      <c r="CO138" s="219"/>
      <c r="CP138" s="218" t="s">
        <v>167</v>
      </c>
      <c r="CQ138" s="219"/>
      <c r="CR138" s="248" t="s">
        <v>167</v>
      </c>
      <c r="CS138" s="249"/>
      <c r="CT138" s="248" t="s">
        <v>167</v>
      </c>
      <c r="CU138" s="249"/>
      <c r="CV138" s="248" t="s">
        <v>167</v>
      </c>
      <c r="CW138" s="249"/>
      <c r="CX138" s="248" t="s">
        <v>167</v>
      </c>
      <c r="CY138" s="249"/>
      <c r="CZ138" s="233" t="s">
        <v>167</v>
      </c>
      <c r="DA138" s="234"/>
      <c r="DB138" s="233" t="s">
        <v>167</v>
      </c>
      <c r="DC138" s="234"/>
      <c r="DD138" s="233" t="s">
        <v>167</v>
      </c>
      <c r="DE138" s="234"/>
      <c r="DF138" s="233" t="s">
        <v>167</v>
      </c>
      <c r="DG138" s="234"/>
      <c r="DH138" s="233" t="s">
        <v>167</v>
      </c>
      <c r="DI138" s="234"/>
      <c r="DJ138" s="233" t="s">
        <v>167</v>
      </c>
      <c r="DK138" s="234"/>
      <c r="DL138" s="264" t="s">
        <v>167</v>
      </c>
      <c r="DM138" s="265"/>
      <c r="DN138" s="264" t="s">
        <v>167</v>
      </c>
      <c r="DO138" s="265"/>
      <c r="DP138" s="264" t="s">
        <v>167</v>
      </c>
      <c r="DQ138" s="265"/>
      <c r="DR138" s="264" t="s">
        <v>167</v>
      </c>
      <c r="DS138" s="265"/>
      <c r="DT138" s="264" t="s">
        <v>167</v>
      </c>
      <c r="DU138" s="265"/>
      <c r="DV138" s="264" t="s">
        <v>167</v>
      </c>
      <c r="DW138" s="265"/>
      <c r="DX138" s="190" t="s">
        <v>167</v>
      </c>
      <c r="DY138" s="191"/>
      <c r="DZ138" s="190" t="s">
        <v>167</v>
      </c>
      <c r="EA138" s="191"/>
      <c r="EB138" s="190" t="s">
        <v>167</v>
      </c>
      <c r="EC138" s="191"/>
      <c r="ED138" s="190" t="s">
        <v>167</v>
      </c>
      <c r="EE138" s="191"/>
      <c r="EF138" s="190" t="s">
        <v>167</v>
      </c>
      <c r="EG138" s="191"/>
      <c r="EH138" s="190" t="s">
        <v>167</v>
      </c>
      <c r="EI138" s="191"/>
    </row>
    <row r="139" spans="1:139" outlineLevel="1" x14ac:dyDescent="0.2">
      <c r="A139"/>
      <c r="B139"/>
      <c r="E139" s="187"/>
      <c r="G139" s="187"/>
      <c r="I139" s="201"/>
      <c r="K139" s="201"/>
      <c r="M139" s="201"/>
      <c r="O139" s="201"/>
      <c r="Q139" s="215"/>
      <c r="S139" s="215"/>
      <c r="U139" s="215"/>
      <c r="W139" s="215"/>
      <c r="Y139" s="245"/>
      <c r="AA139" s="245"/>
      <c r="AC139" s="245"/>
      <c r="AE139" s="245"/>
      <c r="AG139" s="245"/>
      <c r="AI139" s="245"/>
      <c r="AK139" s="230"/>
      <c r="AM139" s="230"/>
      <c r="AO139" s="230"/>
      <c r="AQ139" s="230"/>
      <c r="AS139" s="230"/>
      <c r="AU139" s="230"/>
      <c r="AW139" s="261"/>
      <c r="AY139" s="261"/>
      <c r="BA139" s="261"/>
      <c r="BC139" s="261"/>
      <c r="BE139" s="261"/>
      <c r="BG139" s="261"/>
      <c r="BI139" s="261"/>
      <c r="BK139" s="261"/>
      <c r="BM139" s="187"/>
      <c r="BO139" s="187"/>
      <c r="BQ139" s="187"/>
      <c r="BS139" s="187"/>
      <c r="BU139" s="201"/>
      <c r="BW139" s="201"/>
      <c r="BY139" s="201"/>
      <c r="CA139" s="201"/>
      <c r="CC139" s="201"/>
      <c r="CE139" s="201"/>
      <c r="CG139" s="201"/>
      <c r="CI139" s="201"/>
      <c r="CK139" s="215"/>
      <c r="CM139" s="215"/>
      <c r="CO139" s="215"/>
      <c r="CQ139" s="215"/>
      <c r="CS139" s="245"/>
      <c r="CU139" s="245"/>
      <c r="CW139" s="245"/>
      <c r="CY139" s="245"/>
      <c r="DA139" s="230"/>
      <c r="DC139" s="230"/>
      <c r="DE139" s="230"/>
      <c r="DG139" s="230"/>
      <c r="DI139" s="230"/>
      <c r="DK139" s="230"/>
      <c r="DM139" s="261"/>
      <c r="DO139" s="261"/>
      <c r="DQ139" s="261"/>
      <c r="DS139" s="261"/>
      <c r="DU139" s="261"/>
      <c r="DW139" s="261"/>
      <c r="DY139" s="187"/>
      <c r="EA139" s="187"/>
      <c r="EC139" s="187"/>
      <c r="EE139" s="187"/>
      <c r="EG139" s="187"/>
      <c r="EI139" s="187"/>
    </row>
    <row r="140" spans="1:139" outlineLevel="1" x14ac:dyDescent="0.2">
      <c r="A140"/>
      <c r="B140" s="7" t="s">
        <v>148</v>
      </c>
      <c r="C140" s="10">
        <v>55.075437446560521</v>
      </c>
      <c r="D140" s="192">
        <v>56.590799654149372</v>
      </c>
      <c r="E140" s="189"/>
      <c r="F140" s="192">
        <v>53.502517189780107</v>
      </c>
      <c r="G140" s="189"/>
      <c r="H140" s="206">
        <v>63.788841106835704</v>
      </c>
      <c r="I140" s="203"/>
      <c r="J140" s="206">
        <v>62.769295978723378</v>
      </c>
      <c r="K140" s="203"/>
      <c r="L140" s="206">
        <v>44.50923786900605</v>
      </c>
      <c r="M140" s="203"/>
      <c r="N140" s="206">
        <v>38.647576185837188</v>
      </c>
      <c r="O140" s="203"/>
      <c r="P140" s="220">
        <v>64.19841745850286</v>
      </c>
      <c r="Q140" s="217"/>
      <c r="R140" s="220">
        <v>63.645227572543071</v>
      </c>
      <c r="S140" s="217"/>
      <c r="T140" s="220">
        <v>40.45707334359011</v>
      </c>
      <c r="U140" s="217" t="s">
        <v>186</v>
      </c>
      <c r="V140" s="220">
        <v>31.669986845577448</v>
      </c>
      <c r="W140" s="217"/>
      <c r="X140" s="250">
        <v>56.655350186815753</v>
      </c>
      <c r="Y140" s="247"/>
      <c r="Z140" s="250">
        <v>40.363444557617342</v>
      </c>
      <c r="AA140" s="247"/>
      <c r="AB140" s="250">
        <v>33.948172890798361</v>
      </c>
      <c r="AC140" s="247"/>
      <c r="AD140" s="250">
        <v>57.2411036395007</v>
      </c>
      <c r="AE140" s="247"/>
      <c r="AF140" s="250">
        <v>28.142156396063125</v>
      </c>
      <c r="AG140" s="247"/>
      <c r="AH140" s="250">
        <v>33.156500939689046</v>
      </c>
      <c r="AI140" s="247"/>
      <c r="AJ140" s="235">
        <v>51.331186523483382</v>
      </c>
      <c r="AK140" s="232"/>
      <c r="AL140" s="235">
        <v>38.112609250581862</v>
      </c>
      <c r="AM140" s="232"/>
      <c r="AN140" s="235">
        <v>32.830597624203143</v>
      </c>
      <c r="AO140" s="232"/>
      <c r="AP140" s="235">
        <v>39.31203587159289</v>
      </c>
      <c r="AQ140" s="232"/>
      <c r="AR140" s="235">
        <v>28.245994304900336</v>
      </c>
      <c r="AS140" s="232"/>
      <c r="AT140" s="235">
        <v>29.091645544507394</v>
      </c>
      <c r="AU140" s="232"/>
      <c r="AV140" s="266">
        <v>55.821799361021164</v>
      </c>
      <c r="AW140" s="263" t="s">
        <v>172</v>
      </c>
      <c r="AX140" s="266">
        <v>45.92000909823755</v>
      </c>
      <c r="AY140" s="263"/>
      <c r="AZ140" s="266">
        <v>54.66136141506766</v>
      </c>
      <c r="BA140" s="263"/>
      <c r="BB140" s="266">
        <v>57.737740203191599</v>
      </c>
      <c r="BC140" s="263"/>
      <c r="BD140" s="266">
        <v>62.734395914828326</v>
      </c>
      <c r="BE140" s="263"/>
      <c r="BF140" s="266">
        <v>56.661973843409136</v>
      </c>
      <c r="BG140" s="263"/>
      <c r="BH140" s="266">
        <v>56.8775641434299</v>
      </c>
      <c r="BI140" s="263"/>
      <c r="BJ140" s="266">
        <v>50.168297168318553</v>
      </c>
      <c r="BK140" s="263"/>
      <c r="BL140" s="192">
        <v>56.03509596158856</v>
      </c>
      <c r="BM140" s="189"/>
      <c r="BN140" s="192">
        <v>53.318549515242907</v>
      </c>
      <c r="BO140" s="189"/>
      <c r="BP140" s="192">
        <v>57.130006847963607</v>
      </c>
      <c r="BQ140" s="189"/>
      <c r="BR140" s="192">
        <v>53.682660112686015</v>
      </c>
      <c r="BS140" s="189"/>
      <c r="BT140" s="206">
        <v>57.961182802813575</v>
      </c>
      <c r="BU140" s="203"/>
      <c r="BV140" s="206">
        <v>57.043286101680764</v>
      </c>
      <c r="BW140" s="203"/>
      <c r="BX140" s="206">
        <v>55.603613093543736</v>
      </c>
      <c r="BY140" s="203"/>
      <c r="BZ140" s="206">
        <v>52.245848246525526</v>
      </c>
      <c r="CA140" s="203"/>
      <c r="CB140" s="206">
        <v>56.500928116093</v>
      </c>
      <c r="CC140" s="203"/>
      <c r="CD140" s="206">
        <v>52.242716035757638</v>
      </c>
      <c r="CE140" s="203"/>
      <c r="CF140" s="206">
        <v>57.069244705241054</v>
      </c>
      <c r="CG140" s="203"/>
      <c r="CH140" s="206">
        <v>53.77841876432074</v>
      </c>
      <c r="CI140" s="203"/>
      <c r="CJ140" s="220">
        <v>53.104431506055263</v>
      </c>
      <c r="CK140" s="217"/>
      <c r="CL140" s="220">
        <v>48.433921608582928</v>
      </c>
      <c r="CM140" s="217"/>
      <c r="CN140" s="220">
        <v>60.180768403255009</v>
      </c>
      <c r="CO140" s="217"/>
      <c r="CP140" s="220">
        <v>59.564265133856516</v>
      </c>
      <c r="CQ140" s="217"/>
      <c r="CR140" s="250">
        <v>47.535967126762372</v>
      </c>
      <c r="CS140" s="247"/>
      <c r="CT140" s="250">
        <v>43.972164505066075</v>
      </c>
      <c r="CU140" s="247"/>
      <c r="CV140" s="250">
        <v>60.561660084938488</v>
      </c>
      <c r="CW140" s="247"/>
      <c r="CX140" s="250">
        <v>57.524963826605052</v>
      </c>
      <c r="CY140" s="247"/>
      <c r="CZ140" s="235">
        <v>55.190849256579142</v>
      </c>
      <c r="DA140" s="232"/>
      <c r="DB140" s="235">
        <v>53.760939394310846</v>
      </c>
      <c r="DC140" s="232"/>
      <c r="DD140" s="235">
        <v>59.420533032904487</v>
      </c>
      <c r="DE140" s="232"/>
      <c r="DF140" s="235">
        <v>50.521781745806841</v>
      </c>
      <c r="DG140" s="232"/>
      <c r="DH140" s="235">
        <v>60.501956318986991</v>
      </c>
      <c r="DI140" s="232"/>
      <c r="DJ140" s="235">
        <v>50.960040973624622</v>
      </c>
      <c r="DK140" s="232"/>
      <c r="DL140" s="266">
        <v>67.312135574620982</v>
      </c>
      <c r="DM140" s="263"/>
      <c r="DN140" s="266">
        <v>65.175223012298801</v>
      </c>
      <c r="DO140" s="263"/>
      <c r="DP140" s="266">
        <v>49.453023954804287</v>
      </c>
      <c r="DQ140" s="263"/>
      <c r="DR140" s="266">
        <v>48.353499387422175</v>
      </c>
      <c r="DS140" s="263"/>
      <c r="DT140" s="266">
        <v>46.157347680982639</v>
      </c>
      <c r="DU140" s="263"/>
      <c r="DV140" s="266">
        <v>42.695645561719971</v>
      </c>
      <c r="DW140" s="263"/>
      <c r="DX140" s="192">
        <v>62.718372987711497</v>
      </c>
      <c r="DY140" s="189"/>
      <c r="DZ140" s="192">
        <v>63.492255858869918</v>
      </c>
      <c r="EA140" s="189"/>
      <c r="EB140" s="192">
        <v>57.919719398912697</v>
      </c>
      <c r="EC140" s="189" t="s">
        <v>237</v>
      </c>
      <c r="ED140" s="192">
        <v>50.054545397181499</v>
      </c>
      <c r="EE140" s="189"/>
      <c r="EF140" s="192">
        <v>44.873524104098678</v>
      </c>
      <c r="EG140" s="189"/>
      <c r="EH140" s="192">
        <v>44.713838262005439</v>
      </c>
      <c r="EI140" s="189"/>
    </row>
    <row r="141" spans="1:139" outlineLevel="1" x14ac:dyDescent="0.2">
      <c r="A141"/>
      <c r="B141" s="11" t="s">
        <v>149</v>
      </c>
      <c r="C141" s="12">
        <v>22.747676363802462</v>
      </c>
      <c r="D141" s="193">
        <v>22.380076354865171</v>
      </c>
      <c r="E141" s="189"/>
      <c r="F141" s="193">
        <v>23.129238935149761</v>
      </c>
      <c r="G141" s="189"/>
      <c r="H141" s="207">
        <v>25.851126263854937</v>
      </c>
      <c r="I141" s="203"/>
      <c r="J141" s="207">
        <v>27.995825749701105</v>
      </c>
      <c r="K141" s="203"/>
      <c r="L141" s="207">
        <v>16.554088242623145</v>
      </c>
      <c r="M141" s="203"/>
      <c r="N141" s="207">
        <v>15.327945555082943</v>
      </c>
      <c r="O141" s="203"/>
      <c r="P141" s="221">
        <v>26.547019279817029</v>
      </c>
      <c r="Q141" s="217"/>
      <c r="R141" s="221">
        <v>29.815365963922389</v>
      </c>
      <c r="S141" s="217"/>
      <c r="T141" s="221">
        <v>13.543102885401076</v>
      </c>
      <c r="U141" s="217"/>
      <c r="V141" s="221">
        <v>8.7371222590244724</v>
      </c>
      <c r="W141" s="217"/>
      <c r="X141" s="251">
        <v>23.138343742767088</v>
      </c>
      <c r="Y141" s="247"/>
      <c r="Z141" s="251">
        <v>15.840557678611088</v>
      </c>
      <c r="AA141" s="247"/>
      <c r="AB141" s="251">
        <v>9.2795429866389689</v>
      </c>
      <c r="AC141" s="247"/>
      <c r="AD141" s="251">
        <v>28.560745204592255</v>
      </c>
      <c r="AE141" s="247"/>
      <c r="AF141" s="251">
        <v>7.8436039368757964</v>
      </c>
      <c r="AG141" s="247"/>
      <c r="AH141" s="251">
        <v>13.242117052983275</v>
      </c>
      <c r="AI141" s="247"/>
      <c r="AJ141" s="236">
        <v>17.860682845251183</v>
      </c>
      <c r="AK141" s="232"/>
      <c r="AL141" s="236">
        <v>12.630228460135406</v>
      </c>
      <c r="AM141" s="232"/>
      <c r="AN141" s="236">
        <v>9.849805705838012</v>
      </c>
      <c r="AO141" s="232"/>
      <c r="AP141" s="236">
        <v>12.604222255759355</v>
      </c>
      <c r="AQ141" s="232"/>
      <c r="AR141" s="236">
        <v>6.403960554158183</v>
      </c>
      <c r="AS141" s="232"/>
      <c r="AT141" s="236">
        <v>9.5729104561663103</v>
      </c>
      <c r="AU141" s="232"/>
      <c r="AV141" s="267">
        <v>19.80631514179791</v>
      </c>
      <c r="AW141" s="263"/>
      <c r="AX141" s="267">
        <v>17.16609014231765</v>
      </c>
      <c r="AY141" s="263"/>
      <c r="AZ141" s="267">
        <v>21.605481211315379</v>
      </c>
      <c r="BA141" s="263"/>
      <c r="BB141" s="267">
        <v>27.341520544191848</v>
      </c>
      <c r="BC141" s="263"/>
      <c r="BD141" s="267">
        <v>31.307329521465398</v>
      </c>
      <c r="BE141" s="263"/>
      <c r="BF141" s="267">
        <v>25.071080542217711</v>
      </c>
      <c r="BG141" s="263"/>
      <c r="BH141" s="267">
        <v>20.034816882573839</v>
      </c>
      <c r="BI141" s="263"/>
      <c r="BJ141" s="267">
        <v>19.006144478333624</v>
      </c>
      <c r="BK141" s="263"/>
      <c r="BL141" s="193">
        <v>20.395449313567195</v>
      </c>
      <c r="BM141" s="189"/>
      <c r="BN141" s="193">
        <v>22.926041062704652</v>
      </c>
      <c r="BO141" s="189"/>
      <c r="BP141" s="193">
        <v>24.305788190204492</v>
      </c>
      <c r="BQ141" s="189"/>
      <c r="BR141" s="193">
        <v>23.328212253492829</v>
      </c>
      <c r="BS141" s="189"/>
      <c r="BT141" s="207">
        <v>21.833097409772915</v>
      </c>
      <c r="BU141" s="203"/>
      <c r="BV141" s="207">
        <v>21.791709181011711</v>
      </c>
      <c r="BW141" s="203"/>
      <c r="BX141" s="207">
        <v>21.847960532782437</v>
      </c>
      <c r="BY141" s="203"/>
      <c r="BZ141" s="207">
        <v>23.842493214784891</v>
      </c>
      <c r="CA141" s="203"/>
      <c r="CB141" s="207">
        <v>19.054468518041254</v>
      </c>
      <c r="CC141" s="203"/>
      <c r="CD141" s="207">
        <v>22.724634882095426</v>
      </c>
      <c r="CE141" s="203"/>
      <c r="CF141" s="207">
        <v>27.105959309316532</v>
      </c>
      <c r="CG141" s="203"/>
      <c r="CH141" s="207">
        <v>23.554190337464046</v>
      </c>
      <c r="CI141" s="203"/>
      <c r="CJ141" s="221">
        <v>22.996295161877473</v>
      </c>
      <c r="CK141" s="217"/>
      <c r="CL141" s="221">
        <v>19.689880061762448</v>
      </c>
      <c r="CM141" s="217"/>
      <c r="CN141" s="221">
        <v>21.031657066620035</v>
      </c>
      <c r="CO141" s="217"/>
      <c r="CP141" s="221">
        <v>27.1265444090362</v>
      </c>
      <c r="CQ141" s="217" t="s">
        <v>217</v>
      </c>
      <c r="CR141" s="251">
        <v>22.960941045206543</v>
      </c>
      <c r="CS141" s="247"/>
      <c r="CT141" s="251">
        <v>19.173662544544612</v>
      </c>
      <c r="CU141" s="247"/>
      <c r="CV141" s="251">
        <v>22.198506888364545</v>
      </c>
      <c r="CW141" s="247"/>
      <c r="CX141" s="251">
        <v>24.880996757707479</v>
      </c>
      <c r="CY141" s="247"/>
      <c r="CZ141" s="236">
        <v>19.407209280627004</v>
      </c>
      <c r="DA141" s="232"/>
      <c r="DB141" s="236">
        <v>21.774202963012254</v>
      </c>
      <c r="DC141" s="232"/>
      <c r="DD141" s="236">
        <v>29.963462282597156</v>
      </c>
      <c r="DE141" s="232"/>
      <c r="DF141" s="236">
        <v>26.955222984934306</v>
      </c>
      <c r="DG141" s="232"/>
      <c r="DH141" s="236">
        <v>25.549612636174</v>
      </c>
      <c r="DI141" s="232"/>
      <c r="DJ141" s="236">
        <v>25.591118298815189</v>
      </c>
      <c r="DK141" s="232"/>
      <c r="DL141" s="267">
        <v>28.981295633777737</v>
      </c>
      <c r="DM141" s="263"/>
      <c r="DN141" s="267">
        <v>35.778333250274748</v>
      </c>
      <c r="DO141" s="263" t="s">
        <v>228</v>
      </c>
      <c r="DP141" s="267">
        <v>16.49693281033138</v>
      </c>
      <c r="DQ141" s="263"/>
      <c r="DR141" s="267">
        <v>17.091799971177402</v>
      </c>
      <c r="DS141" s="263"/>
      <c r="DT141" s="267">
        <v>17.389798779686082</v>
      </c>
      <c r="DU141" s="263"/>
      <c r="DV141" s="267">
        <v>11.598306179403568</v>
      </c>
      <c r="DW141" s="263"/>
      <c r="DX141" s="193">
        <v>27.460650655511149</v>
      </c>
      <c r="DY141" s="189"/>
      <c r="DZ141" s="193">
        <v>33.38545162195603</v>
      </c>
      <c r="EA141" s="189"/>
      <c r="EB141" s="193">
        <v>23.826714313674245</v>
      </c>
      <c r="EC141" s="189"/>
      <c r="ED141" s="193">
        <v>18.538930851968768</v>
      </c>
      <c r="EE141" s="189"/>
      <c r="EF141" s="193">
        <v>11.766215171271591</v>
      </c>
      <c r="EG141" s="189"/>
      <c r="EH141" s="193">
        <v>16.169413469743848</v>
      </c>
      <c r="EI141" s="189"/>
    </row>
    <row r="142" spans="1:139" outlineLevel="1" x14ac:dyDescent="0.2">
      <c r="A142"/>
      <c r="B142" s="11" t="s">
        <v>150</v>
      </c>
      <c r="C142" s="12">
        <v>32.327761082758059</v>
      </c>
      <c r="D142" s="193">
        <v>34.210723299284197</v>
      </c>
      <c r="E142" s="189"/>
      <c r="F142" s="193">
        <v>30.373278254630346</v>
      </c>
      <c r="G142" s="189"/>
      <c r="H142" s="207">
        <v>37.937714842980768</v>
      </c>
      <c r="I142" s="203"/>
      <c r="J142" s="207">
        <v>34.773470229022273</v>
      </c>
      <c r="K142" s="203"/>
      <c r="L142" s="207">
        <v>27.955149626382909</v>
      </c>
      <c r="M142" s="203"/>
      <c r="N142" s="207">
        <v>23.319630630754244</v>
      </c>
      <c r="O142" s="203"/>
      <c r="P142" s="221">
        <v>37.651398178685831</v>
      </c>
      <c r="Q142" s="217"/>
      <c r="R142" s="221">
        <v>33.829861608620682</v>
      </c>
      <c r="S142" s="217"/>
      <c r="T142" s="221">
        <v>26.913970458189038</v>
      </c>
      <c r="U142" s="217"/>
      <c r="V142" s="221">
        <v>22.932864586552974</v>
      </c>
      <c r="W142" s="217"/>
      <c r="X142" s="251">
        <v>33.517006444048661</v>
      </c>
      <c r="Y142" s="247"/>
      <c r="Z142" s="251">
        <v>24.522886879006258</v>
      </c>
      <c r="AA142" s="247"/>
      <c r="AB142" s="251">
        <v>24.668629904159388</v>
      </c>
      <c r="AC142" s="247"/>
      <c r="AD142" s="251">
        <v>28.680358434908442</v>
      </c>
      <c r="AE142" s="247"/>
      <c r="AF142" s="251">
        <v>20.298552459187327</v>
      </c>
      <c r="AG142" s="247"/>
      <c r="AH142" s="251">
        <v>19.914383886705775</v>
      </c>
      <c r="AI142" s="247"/>
      <c r="AJ142" s="236">
        <v>33.470503678232198</v>
      </c>
      <c r="AK142" s="232"/>
      <c r="AL142" s="236">
        <v>25.482380790446452</v>
      </c>
      <c r="AM142" s="232"/>
      <c r="AN142" s="236">
        <v>22.980791918365131</v>
      </c>
      <c r="AO142" s="232"/>
      <c r="AP142" s="236">
        <v>26.707813615833537</v>
      </c>
      <c r="AQ142" s="232"/>
      <c r="AR142" s="236">
        <v>21.842033750742154</v>
      </c>
      <c r="AS142" s="232"/>
      <c r="AT142" s="236">
        <v>19.518735088341085</v>
      </c>
      <c r="AU142" s="232"/>
      <c r="AV142" s="267">
        <v>36.015484219223254</v>
      </c>
      <c r="AW142" s="263"/>
      <c r="AX142" s="267">
        <v>28.753918955919897</v>
      </c>
      <c r="AY142" s="263"/>
      <c r="AZ142" s="267">
        <v>33.055880203752281</v>
      </c>
      <c r="BA142" s="263"/>
      <c r="BB142" s="267">
        <v>30.396219658999751</v>
      </c>
      <c r="BC142" s="263"/>
      <c r="BD142" s="267">
        <v>31.427066393362928</v>
      </c>
      <c r="BE142" s="263"/>
      <c r="BF142" s="267">
        <v>31.590893301191425</v>
      </c>
      <c r="BG142" s="263"/>
      <c r="BH142" s="267">
        <v>36.842747260856058</v>
      </c>
      <c r="BI142" s="263"/>
      <c r="BJ142" s="267">
        <v>31.162152689984932</v>
      </c>
      <c r="BK142" s="263"/>
      <c r="BL142" s="193">
        <v>35.639646648021362</v>
      </c>
      <c r="BM142" s="189"/>
      <c r="BN142" s="193">
        <v>30.392508452538252</v>
      </c>
      <c r="BO142" s="189"/>
      <c r="BP142" s="193">
        <v>32.824218657759111</v>
      </c>
      <c r="BQ142" s="189"/>
      <c r="BR142" s="193">
        <v>30.35444785919319</v>
      </c>
      <c r="BS142" s="189"/>
      <c r="BT142" s="207">
        <v>36.128085393040664</v>
      </c>
      <c r="BU142" s="203"/>
      <c r="BV142" s="207">
        <v>35.251576920669052</v>
      </c>
      <c r="BW142" s="203"/>
      <c r="BX142" s="207">
        <v>33.755652560761298</v>
      </c>
      <c r="BY142" s="203"/>
      <c r="BZ142" s="207">
        <v>28.403355031740634</v>
      </c>
      <c r="CA142" s="203"/>
      <c r="CB142" s="207">
        <v>37.446459598051746</v>
      </c>
      <c r="CC142" s="203"/>
      <c r="CD142" s="207">
        <v>29.518081153662212</v>
      </c>
      <c r="CE142" s="203"/>
      <c r="CF142" s="207">
        <v>29.963285395924519</v>
      </c>
      <c r="CG142" s="203"/>
      <c r="CH142" s="207">
        <v>30.224228426856698</v>
      </c>
      <c r="CI142" s="203"/>
      <c r="CJ142" s="221">
        <v>30.10813634417779</v>
      </c>
      <c r="CK142" s="217"/>
      <c r="CL142" s="221">
        <v>28.744041546820476</v>
      </c>
      <c r="CM142" s="217"/>
      <c r="CN142" s="221">
        <v>39.149111336634981</v>
      </c>
      <c r="CO142" s="217" t="s">
        <v>218</v>
      </c>
      <c r="CP142" s="221">
        <v>32.437720724820316</v>
      </c>
      <c r="CQ142" s="217"/>
      <c r="CR142" s="251">
        <v>24.57502608155583</v>
      </c>
      <c r="CS142" s="247"/>
      <c r="CT142" s="251">
        <v>24.798501960521467</v>
      </c>
      <c r="CU142" s="247"/>
      <c r="CV142" s="251">
        <v>38.36315319657394</v>
      </c>
      <c r="CW142" s="247" t="s">
        <v>166</v>
      </c>
      <c r="CX142" s="251">
        <v>32.643967068897574</v>
      </c>
      <c r="CY142" s="247"/>
      <c r="CZ142" s="236">
        <v>35.783639975952141</v>
      </c>
      <c r="DA142" s="232"/>
      <c r="DB142" s="236">
        <v>31.986736431298592</v>
      </c>
      <c r="DC142" s="232"/>
      <c r="DD142" s="236">
        <v>29.457070750307334</v>
      </c>
      <c r="DE142" s="232"/>
      <c r="DF142" s="236">
        <v>23.566558760872539</v>
      </c>
      <c r="DG142" s="232"/>
      <c r="DH142" s="236">
        <v>34.952343682812995</v>
      </c>
      <c r="DI142" s="232"/>
      <c r="DJ142" s="236">
        <v>25.368922674809433</v>
      </c>
      <c r="DK142" s="232"/>
      <c r="DL142" s="267">
        <v>38.330839940843241</v>
      </c>
      <c r="DM142" s="263" t="s">
        <v>229</v>
      </c>
      <c r="DN142" s="267">
        <v>29.396889762024045</v>
      </c>
      <c r="DO142" s="263"/>
      <c r="DP142" s="267">
        <v>32.956091144472907</v>
      </c>
      <c r="DQ142" s="263"/>
      <c r="DR142" s="267">
        <v>31.261699416244774</v>
      </c>
      <c r="DS142" s="263"/>
      <c r="DT142" s="267">
        <v>28.767548901296557</v>
      </c>
      <c r="DU142" s="263"/>
      <c r="DV142" s="267">
        <v>31.097339382316406</v>
      </c>
      <c r="DW142" s="263"/>
      <c r="DX142" s="193">
        <v>35.257722332200352</v>
      </c>
      <c r="DY142" s="189"/>
      <c r="DZ142" s="193">
        <v>30.106804236913888</v>
      </c>
      <c r="EA142" s="189"/>
      <c r="EB142" s="193">
        <v>34.093005085238445</v>
      </c>
      <c r="EC142" s="189"/>
      <c r="ED142" s="193">
        <v>31.515614545212735</v>
      </c>
      <c r="EE142" s="189"/>
      <c r="EF142" s="193">
        <v>33.107308932827081</v>
      </c>
      <c r="EG142" s="189"/>
      <c r="EH142" s="193">
        <v>28.544424792261594</v>
      </c>
      <c r="EI142" s="189"/>
    </row>
    <row r="143" spans="1:139" outlineLevel="1" x14ac:dyDescent="0.2">
      <c r="A143"/>
      <c r="B143" s="7"/>
      <c r="E143" s="187"/>
      <c r="G143" s="187"/>
      <c r="I143" s="201"/>
      <c r="K143" s="201"/>
      <c r="M143" s="201"/>
      <c r="O143" s="201"/>
      <c r="Q143" s="215"/>
      <c r="S143" s="215"/>
      <c r="U143" s="215"/>
      <c r="W143" s="215"/>
      <c r="Y143" s="245"/>
      <c r="AA143" s="245"/>
      <c r="AC143" s="245"/>
      <c r="AE143" s="245"/>
      <c r="AG143" s="245"/>
      <c r="AI143" s="245"/>
      <c r="AK143" s="230"/>
      <c r="AM143" s="230"/>
      <c r="AO143" s="230"/>
      <c r="AQ143" s="230"/>
      <c r="AS143" s="230"/>
      <c r="AU143" s="230"/>
      <c r="AW143" s="261"/>
      <c r="AY143" s="261"/>
      <c r="BA143" s="261"/>
      <c r="BC143" s="261"/>
      <c r="BE143" s="261"/>
      <c r="BG143" s="261"/>
      <c r="BI143" s="261"/>
      <c r="BK143" s="261"/>
      <c r="BM143" s="187"/>
      <c r="BO143" s="187"/>
      <c r="BQ143" s="187"/>
      <c r="BS143" s="187"/>
      <c r="BU143" s="201"/>
      <c r="BW143" s="201"/>
      <c r="BY143" s="201"/>
      <c r="CA143" s="201"/>
      <c r="CC143" s="201"/>
      <c r="CE143" s="201"/>
      <c r="CG143" s="201"/>
      <c r="CI143" s="201"/>
      <c r="CK143" s="215"/>
      <c r="CM143" s="215"/>
      <c r="CO143" s="215"/>
      <c r="CQ143" s="215"/>
      <c r="CS143" s="245"/>
      <c r="CU143" s="245"/>
      <c r="CW143" s="245"/>
      <c r="CY143" s="245"/>
      <c r="DA143" s="230"/>
      <c r="DC143" s="230"/>
      <c r="DE143" s="230"/>
      <c r="DG143" s="230"/>
      <c r="DI143" s="230"/>
      <c r="DK143" s="230"/>
      <c r="DM143" s="261"/>
      <c r="DO143" s="261"/>
      <c r="DQ143" s="261"/>
      <c r="DS143" s="261"/>
      <c r="DU143" s="261"/>
      <c r="DW143" s="261"/>
      <c r="DY143" s="187"/>
      <c r="EA143" s="187"/>
      <c r="EC143" s="187"/>
      <c r="EE143" s="187"/>
      <c r="EG143" s="187"/>
      <c r="EI143" s="187"/>
    </row>
    <row r="144" spans="1:139" outlineLevel="1" x14ac:dyDescent="0.2">
      <c r="A144"/>
      <c r="B144" s="13" t="s">
        <v>151</v>
      </c>
      <c r="C144" s="12">
        <v>31.527908904077382</v>
      </c>
      <c r="D144" s="193">
        <v>30.448201169444769</v>
      </c>
      <c r="E144" s="189"/>
      <c r="F144" s="193">
        <v>32.64862721069818</v>
      </c>
      <c r="G144" s="189"/>
      <c r="H144" s="207">
        <v>25.917918129477677</v>
      </c>
      <c r="I144" s="203"/>
      <c r="J144" s="207">
        <v>25.46034188315112</v>
      </c>
      <c r="K144" s="203"/>
      <c r="L144" s="207">
        <v>38.052060470799979</v>
      </c>
      <c r="M144" s="203"/>
      <c r="N144" s="207">
        <v>44.171677117492898</v>
      </c>
      <c r="O144" s="203"/>
      <c r="P144" s="221">
        <v>26.143260911900565</v>
      </c>
      <c r="Q144" s="217"/>
      <c r="R144" s="221">
        <v>25.162767975809917</v>
      </c>
      <c r="S144" s="217"/>
      <c r="T144" s="221">
        <v>39.577830139341344</v>
      </c>
      <c r="U144" s="217"/>
      <c r="V144" s="221">
        <v>48.762194761229615</v>
      </c>
      <c r="W144" s="217" t="s">
        <v>185</v>
      </c>
      <c r="X144" s="251">
        <v>31.674943276107513</v>
      </c>
      <c r="Y144" s="247"/>
      <c r="Z144" s="251">
        <v>39.519976718717693</v>
      </c>
      <c r="AA144" s="247"/>
      <c r="AB144" s="251">
        <v>42.242457863179268</v>
      </c>
      <c r="AC144" s="247"/>
      <c r="AD144" s="251">
        <v>27.64907380703006</v>
      </c>
      <c r="AE144" s="247"/>
      <c r="AF144" s="251">
        <v>53.992864299282353</v>
      </c>
      <c r="AG144" s="247"/>
      <c r="AH144" s="251">
        <v>47.705450196480442</v>
      </c>
      <c r="AI144" s="247"/>
      <c r="AJ144" s="236">
        <v>33.332746131514419</v>
      </c>
      <c r="AK144" s="232"/>
      <c r="AL144" s="236">
        <v>39.916044322944501</v>
      </c>
      <c r="AM144" s="232"/>
      <c r="AN144" s="236">
        <v>41.896858093223614</v>
      </c>
      <c r="AO144" s="232"/>
      <c r="AP144" s="236">
        <v>38.53317920082398</v>
      </c>
      <c r="AQ144" s="232"/>
      <c r="AR144" s="236">
        <v>54.206221336146115</v>
      </c>
      <c r="AS144" s="232"/>
      <c r="AT144" s="236">
        <v>51.005648993627702</v>
      </c>
      <c r="AU144" s="232"/>
      <c r="AV144" s="267">
        <v>25.03039891587817</v>
      </c>
      <c r="AW144" s="263"/>
      <c r="AX144" s="267">
        <v>35.958538031732012</v>
      </c>
      <c r="AY144" s="263" t="s">
        <v>171</v>
      </c>
      <c r="AZ144" s="267">
        <v>31.116354307457474</v>
      </c>
      <c r="BA144" s="263"/>
      <c r="BB144" s="267">
        <v>28.123964481531051</v>
      </c>
      <c r="BC144" s="263"/>
      <c r="BD144" s="267">
        <v>28.212550928127243</v>
      </c>
      <c r="BE144" s="263"/>
      <c r="BF144" s="267">
        <v>32.217870218530884</v>
      </c>
      <c r="BG144" s="263"/>
      <c r="BH144" s="267">
        <v>36.477410941114996</v>
      </c>
      <c r="BI144" s="263"/>
      <c r="BJ144" s="267">
        <v>39.245407821032948</v>
      </c>
      <c r="BK144" s="263"/>
      <c r="BL144" s="193">
        <v>29.347526369096613</v>
      </c>
      <c r="BM144" s="189"/>
      <c r="BN144" s="193">
        <v>31.080196779480112</v>
      </c>
      <c r="BO144" s="189"/>
      <c r="BP144" s="193">
        <v>31.516201577473044</v>
      </c>
      <c r="BQ144" s="189"/>
      <c r="BR144" s="193">
        <v>34.184449430362463</v>
      </c>
      <c r="BS144" s="189"/>
      <c r="BT144" s="207">
        <v>28.446598350428022</v>
      </c>
      <c r="BU144" s="203"/>
      <c r="BV144" s="207">
        <v>34.533711450151955</v>
      </c>
      <c r="BW144" s="203"/>
      <c r="BX144" s="207">
        <v>29.653622099005535</v>
      </c>
      <c r="BY144" s="203"/>
      <c r="BZ144" s="207">
        <v>33.944181206692811</v>
      </c>
      <c r="CA144" s="203"/>
      <c r="CB144" s="207">
        <v>32.557646871504389</v>
      </c>
      <c r="CC144" s="203"/>
      <c r="CD144" s="207">
        <v>32.972262075561929</v>
      </c>
      <c r="CE144" s="203"/>
      <c r="CF144" s="207">
        <v>31.34094193687287</v>
      </c>
      <c r="CG144" s="203"/>
      <c r="CH144" s="207">
        <v>28.541734803504166</v>
      </c>
      <c r="CI144" s="203"/>
      <c r="CJ144" s="221">
        <v>30.929601760350696</v>
      </c>
      <c r="CK144" s="217"/>
      <c r="CL144" s="221">
        <v>36.591943585163214</v>
      </c>
      <c r="CM144" s="217"/>
      <c r="CN144" s="221">
        <v>29.515982775914971</v>
      </c>
      <c r="CO144" s="217"/>
      <c r="CP144" s="221">
        <v>28.135313550023341</v>
      </c>
      <c r="CQ144" s="217"/>
      <c r="CR144" s="251">
        <v>33.307718388587531</v>
      </c>
      <c r="CS144" s="247"/>
      <c r="CT144" s="251">
        <v>37.498638526760281</v>
      </c>
      <c r="CU144" s="247"/>
      <c r="CV144" s="251">
        <v>29.214818555282104</v>
      </c>
      <c r="CW144" s="247"/>
      <c r="CX144" s="251">
        <v>30.775852756405083</v>
      </c>
      <c r="CY144" s="247"/>
      <c r="CZ144" s="236">
        <v>33.57370736304658</v>
      </c>
      <c r="DA144" s="232"/>
      <c r="DB144" s="236">
        <v>34.426586908975018</v>
      </c>
      <c r="DC144" s="232"/>
      <c r="DD144" s="236">
        <v>23.503306201138937</v>
      </c>
      <c r="DE144" s="232"/>
      <c r="DF144" s="236">
        <v>28.676225942064256</v>
      </c>
      <c r="DG144" s="232"/>
      <c r="DH144" s="236">
        <v>25.747944515073556</v>
      </c>
      <c r="DI144" s="232"/>
      <c r="DJ144" s="236">
        <v>32.42970532114331</v>
      </c>
      <c r="DK144" s="232"/>
      <c r="DL144" s="267">
        <v>24.09993602683117</v>
      </c>
      <c r="DM144" s="263"/>
      <c r="DN144" s="267">
        <v>21.846654618800443</v>
      </c>
      <c r="DO144" s="263"/>
      <c r="DP144" s="267">
        <v>34.232803241025607</v>
      </c>
      <c r="DQ144" s="263"/>
      <c r="DR144" s="267">
        <v>37.598413741739378</v>
      </c>
      <c r="DS144" s="263"/>
      <c r="DT144" s="267">
        <v>35.282529011854692</v>
      </c>
      <c r="DU144" s="263"/>
      <c r="DV144" s="267">
        <v>42.048809921174936</v>
      </c>
      <c r="DW144" s="263"/>
      <c r="DX144" s="193">
        <v>25.321405893997685</v>
      </c>
      <c r="DY144" s="189"/>
      <c r="DZ144" s="193">
        <v>23.811080231866708</v>
      </c>
      <c r="EA144" s="189"/>
      <c r="EB144" s="193">
        <v>29.955135017655309</v>
      </c>
      <c r="EC144" s="189"/>
      <c r="ED144" s="193">
        <v>34.26766342565481</v>
      </c>
      <c r="EE144" s="189"/>
      <c r="EF144" s="193">
        <v>38.638852819678711</v>
      </c>
      <c r="EG144" s="189"/>
      <c r="EH144" s="193">
        <v>43.235141281184596</v>
      </c>
      <c r="EI144" s="189"/>
    </row>
    <row r="145" spans="1:139" outlineLevel="1" x14ac:dyDescent="0.2">
      <c r="A145"/>
      <c r="B145" s="7"/>
      <c r="E145" s="187"/>
      <c r="G145" s="187"/>
      <c r="I145" s="201"/>
      <c r="K145" s="201"/>
      <c r="M145" s="201"/>
      <c r="O145" s="201"/>
      <c r="Q145" s="215"/>
      <c r="S145" s="215"/>
      <c r="U145" s="215"/>
      <c r="W145" s="215"/>
      <c r="Y145" s="245"/>
      <c r="AA145" s="245"/>
      <c r="AC145" s="245"/>
      <c r="AE145" s="245"/>
      <c r="AG145" s="245"/>
      <c r="AI145" s="245"/>
      <c r="AK145" s="230"/>
      <c r="AM145" s="230"/>
      <c r="AO145" s="230"/>
      <c r="AQ145" s="230"/>
      <c r="AS145" s="230"/>
      <c r="AU145" s="230"/>
      <c r="AW145" s="261"/>
      <c r="AY145" s="261"/>
      <c r="BA145" s="261"/>
      <c r="BC145" s="261"/>
      <c r="BE145" s="261"/>
      <c r="BG145" s="261"/>
      <c r="BI145" s="261"/>
      <c r="BK145" s="261"/>
      <c r="BM145" s="187"/>
      <c r="BO145" s="187"/>
      <c r="BQ145" s="187"/>
      <c r="BS145" s="187"/>
      <c r="BU145" s="201"/>
      <c r="BW145" s="201"/>
      <c r="BY145" s="201"/>
      <c r="CA145" s="201"/>
      <c r="CC145" s="201"/>
      <c r="CE145" s="201"/>
      <c r="CG145" s="201"/>
      <c r="CI145" s="201"/>
      <c r="CK145" s="215"/>
      <c r="CM145" s="215"/>
      <c r="CO145" s="215"/>
      <c r="CQ145" s="215"/>
      <c r="CS145" s="245"/>
      <c r="CU145" s="245"/>
      <c r="CW145" s="245"/>
      <c r="CY145" s="245"/>
      <c r="DA145" s="230"/>
      <c r="DC145" s="230"/>
      <c r="DE145" s="230"/>
      <c r="DG145" s="230"/>
      <c r="DI145" s="230"/>
      <c r="DK145" s="230"/>
      <c r="DM145" s="261"/>
      <c r="DO145" s="261"/>
      <c r="DQ145" s="261"/>
      <c r="DS145" s="261"/>
      <c r="DU145" s="261"/>
      <c r="DW145" s="261"/>
      <c r="DY145" s="187"/>
      <c r="EA145" s="187"/>
      <c r="EC145" s="187"/>
      <c r="EE145" s="187"/>
      <c r="EG145" s="187"/>
      <c r="EI145" s="187"/>
    </row>
    <row r="146" spans="1:139" outlineLevel="1" x14ac:dyDescent="0.2">
      <c r="A146"/>
      <c r="B146" s="7" t="s">
        <v>152</v>
      </c>
      <c r="C146" s="10">
        <v>13.396653649362099</v>
      </c>
      <c r="D146" s="192">
        <v>12.960999176405862</v>
      </c>
      <c r="E146" s="189"/>
      <c r="F146" s="192">
        <v>13.848855599521716</v>
      </c>
      <c r="G146" s="189"/>
      <c r="H146" s="206">
        <v>10.293240763686621</v>
      </c>
      <c r="I146" s="203"/>
      <c r="J146" s="206">
        <v>11.770362138125504</v>
      </c>
      <c r="K146" s="203"/>
      <c r="L146" s="206">
        <v>17.438701660193974</v>
      </c>
      <c r="M146" s="203"/>
      <c r="N146" s="206">
        <v>17.180746696669914</v>
      </c>
      <c r="O146" s="203"/>
      <c r="P146" s="220">
        <v>9.6583216295965713</v>
      </c>
      <c r="Q146" s="217"/>
      <c r="R146" s="220">
        <v>11.19200445164701</v>
      </c>
      <c r="S146" s="217"/>
      <c r="T146" s="220">
        <v>19.965096517068538</v>
      </c>
      <c r="U146" s="217"/>
      <c r="V146" s="220">
        <v>19.567818393192933</v>
      </c>
      <c r="W146" s="217"/>
      <c r="X146" s="250">
        <v>11.669706537076738</v>
      </c>
      <c r="Y146" s="247"/>
      <c r="Z146" s="250">
        <v>20.116578723664965</v>
      </c>
      <c r="AA146" s="247"/>
      <c r="AB146" s="250">
        <v>23.809369246022381</v>
      </c>
      <c r="AC146" s="247"/>
      <c r="AD146" s="250">
        <v>15.109822553469238</v>
      </c>
      <c r="AE146" s="247"/>
      <c r="AF146" s="250">
        <v>17.864979304654526</v>
      </c>
      <c r="AG146" s="247"/>
      <c r="AH146" s="250">
        <v>19.138048863830516</v>
      </c>
      <c r="AI146" s="247"/>
      <c r="AJ146" s="235">
        <v>15.33606734500221</v>
      </c>
      <c r="AK146" s="232"/>
      <c r="AL146" s="235">
        <v>21.971346426473641</v>
      </c>
      <c r="AM146" s="232"/>
      <c r="AN146" s="235">
        <v>25.272544282573243</v>
      </c>
      <c r="AO146" s="232"/>
      <c r="AP146" s="235">
        <v>22.154784927583133</v>
      </c>
      <c r="AQ146" s="232"/>
      <c r="AR146" s="235">
        <v>17.547784358953557</v>
      </c>
      <c r="AS146" s="232"/>
      <c r="AT146" s="235">
        <v>19.902705461864901</v>
      </c>
      <c r="AU146" s="232"/>
      <c r="AV146" s="266">
        <v>19.147801723100677</v>
      </c>
      <c r="AW146" s="263"/>
      <c r="AX146" s="266">
        <v>18.121452870030435</v>
      </c>
      <c r="AY146" s="263"/>
      <c r="AZ146" s="266">
        <v>14.222284277474865</v>
      </c>
      <c r="BA146" s="263"/>
      <c r="BB146" s="266">
        <v>14.138295315277354</v>
      </c>
      <c r="BC146" s="263"/>
      <c r="BD146" s="266">
        <v>9.053053157044431</v>
      </c>
      <c r="BE146" s="263"/>
      <c r="BF146" s="266">
        <v>11.120155938059977</v>
      </c>
      <c r="BG146" s="263"/>
      <c r="BH146" s="266">
        <v>6.645024915455112</v>
      </c>
      <c r="BI146" s="263"/>
      <c r="BJ146" s="266">
        <v>10.58629501064849</v>
      </c>
      <c r="BK146" s="263"/>
      <c r="BL146" s="192">
        <v>14.617377669314834</v>
      </c>
      <c r="BM146" s="189"/>
      <c r="BN146" s="192">
        <v>15.601253705276978</v>
      </c>
      <c r="BO146" s="189"/>
      <c r="BP146" s="192">
        <v>11.353791574563358</v>
      </c>
      <c r="BQ146" s="189"/>
      <c r="BR146" s="192">
        <v>12.132890456951527</v>
      </c>
      <c r="BS146" s="189"/>
      <c r="BT146" s="206">
        <v>13.592218846758399</v>
      </c>
      <c r="BU146" s="203"/>
      <c r="BV146" s="206">
        <v>8.4230024481672796</v>
      </c>
      <c r="BW146" s="203"/>
      <c r="BX146" s="206">
        <v>14.742764807450726</v>
      </c>
      <c r="BY146" s="203"/>
      <c r="BZ146" s="206">
        <v>13.809970546781672</v>
      </c>
      <c r="CA146" s="203"/>
      <c r="CB146" s="206">
        <v>10.941425012402618</v>
      </c>
      <c r="CC146" s="203"/>
      <c r="CD146" s="206">
        <v>14.785021888680424</v>
      </c>
      <c r="CE146" s="203"/>
      <c r="CF146" s="206">
        <v>11.589813357886083</v>
      </c>
      <c r="CG146" s="203"/>
      <c r="CH146" s="206">
        <v>17.67984643217509</v>
      </c>
      <c r="CI146" s="203"/>
      <c r="CJ146" s="220">
        <v>15.965966733594035</v>
      </c>
      <c r="CK146" s="217"/>
      <c r="CL146" s="220">
        <v>14.974134806253861</v>
      </c>
      <c r="CM146" s="217"/>
      <c r="CN146" s="220">
        <v>10.303248820830023</v>
      </c>
      <c r="CO146" s="217"/>
      <c r="CP146" s="220">
        <v>12.300421316120143</v>
      </c>
      <c r="CQ146" s="217"/>
      <c r="CR146" s="250">
        <v>19.1563144846501</v>
      </c>
      <c r="CS146" s="247"/>
      <c r="CT146" s="250">
        <v>18.529196968173643</v>
      </c>
      <c r="CU146" s="247"/>
      <c r="CV146" s="250">
        <v>10.223521359779401</v>
      </c>
      <c r="CW146" s="247"/>
      <c r="CX146" s="250">
        <v>11.699183416989856</v>
      </c>
      <c r="CY146" s="247"/>
      <c r="CZ146" s="235">
        <v>11.235443380374283</v>
      </c>
      <c r="DA146" s="232"/>
      <c r="DB146" s="235">
        <v>11.812473696714139</v>
      </c>
      <c r="DC146" s="232"/>
      <c r="DD146" s="235">
        <v>17.076160765956573</v>
      </c>
      <c r="DE146" s="232"/>
      <c r="DF146" s="235">
        <v>20.801992312128899</v>
      </c>
      <c r="DG146" s="232"/>
      <c r="DH146" s="235">
        <v>13.750099165939449</v>
      </c>
      <c r="DI146" s="232"/>
      <c r="DJ146" s="235">
        <v>16.610253705232072</v>
      </c>
      <c r="DK146" s="232"/>
      <c r="DL146" s="266">
        <v>8.5879283985478487</v>
      </c>
      <c r="DM146" s="263"/>
      <c r="DN146" s="266">
        <v>12.978122368900769</v>
      </c>
      <c r="DO146" s="263" t="s">
        <v>228</v>
      </c>
      <c r="DP146" s="266">
        <v>16.314172804170106</v>
      </c>
      <c r="DQ146" s="263"/>
      <c r="DR146" s="266">
        <v>14.048086870838445</v>
      </c>
      <c r="DS146" s="263"/>
      <c r="DT146" s="266">
        <v>18.560123307162673</v>
      </c>
      <c r="DU146" s="263"/>
      <c r="DV146" s="266">
        <v>15.255544517105101</v>
      </c>
      <c r="DW146" s="263"/>
      <c r="DX146" s="192">
        <v>11.960221118290816</v>
      </c>
      <c r="DY146" s="189"/>
      <c r="DZ146" s="192">
        <v>12.696663909263377</v>
      </c>
      <c r="EA146" s="189"/>
      <c r="EB146" s="192">
        <v>12.125145583431998</v>
      </c>
      <c r="EC146" s="189"/>
      <c r="ED146" s="192">
        <v>15.677791177163693</v>
      </c>
      <c r="EE146" s="189"/>
      <c r="EF146" s="192">
        <v>16.487623076222611</v>
      </c>
      <c r="EG146" s="189"/>
      <c r="EH146" s="192">
        <v>12.051020456809956</v>
      </c>
      <c r="EI146" s="189"/>
    </row>
    <row r="147" spans="1:139" outlineLevel="1" x14ac:dyDescent="0.2">
      <c r="A147"/>
      <c r="B147" s="11" t="s">
        <v>153</v>
      </c>
      <c r="C147" s="12">
        <v>6.7664619208277577</v>
      </c>
      <c r="D147" s="193">
        <v>6.3271103850762183</v>
      </c>
      <c r="E147" s="189"/>
      <c r="F147" s="193">
        <v>7.2225013594321821</v>
      </c>
      <c r="G147" s="189"/>
      <c r="H147" s="207">
        <v>5.5470960449523359</v>
      </c>
      <c r="I147" s="203"/>
      <c r="J147" s="207">
        <v>7.2305910371395976</v>
      </c>
      <c r="K147" s="203"/>
      <c r="L147" s="207">
        <v>7.6363264413393415</v>
      </c>
      <c r="M147" s="203"/>
      <c r="N147" s="207">
        <v>7.2095333488837969</v>
      </c>
      <c r="O147" s="203"/>
      <c r="P147" s="221">
        <v>5.2817244002024841</v>
      </c>
      <c r="Q147" s="217"/>
      <c r="R147" s="221">
        <v>6.8070580344570324</v>
      </c>
      <c r="S147" s="217"/>
      <c r="T147" s="221">
        <v>8.5440949658730663</v>
      </c>
      <c r="U147" s="217"/>
      <c r="V147" s="221">
        <v>8.1167572985774736</v>
      </c>
      <c r="W147" s="217"/>
      <c r="X147" s="251">
        <v>7.9879036690237948</v>
      </c>
      <c r="Y147" s="247"/>
      <c r="Z147" s="251">
        <v>9.4498839765042852</v>
      </c>
      <c r="AA147" s="247"/>
      <c r="AB147" s="251">
        <v>9.1086941126481289</v>
      </c>
      <c r="AC147" s="247"/>
      <c r="AD147" s="251">
        <v>7.6270131604912033</v>
      </c>
      <c r="AE147" s="247"/>
      <c r="AF147" s="251">
        <v>5.8894465071787687</v>
      </c>
      <c r="AG147" s="247"/>
      <c r="AH147" s="251">
        <v>6.2566205364770209</v>
      </c>
      <c r="AI147" s="247"/>
      <c r="AJ147" s="236">
        <v>10.49752435713145</v>
      </c>
      <c r="AK147" s="232"/>
      <c r="AL147" s="236">
        <v>9.6688145069756963</v>
      </c>
      <c r="AM147" s="232"/>
      <c r="AN147" s="236">
        <v>9.6684575277764431</v>
      </c>
      <c r="AO147" s="232"/>
      <c r="AP147" s="236">
        <v>11.726258174027635</v>
      </c>
      <c r="AQ147" s="232"/>
      <c r="AR147" s="236">
        <v>5.4710048334936774</v>
      </c>
      <c r="AS147" s="232"/>
      <c r="AT147" s="236">
        <v>5.8798304991924839</v>
      </c>
      <c r="AU147" s="232"/>
      <c r="AV147" s="267">
        <v>12.813030978347291</v>
      </c>
      <c r="AW147" s="263"/>
      <c r="AX147" s="267">
        <v>9.0686587219556625</v>
      </c>
      <c r="AY147" s="263"/>
      <c r="AZ147" s="267">
        <v>4.8744007199039308</v>
      </c>
      <c r="BA147" s="263"/>
      <c r="BB147" s="267">
        <v>8.4235934506269743</v>
      </c>
      <c r="BC147" s="263"/>
      <c r="BD147" s="267">
        <v>5.2614299432748233</v>
      </c>
      <c r="BE147" s="263"/>
      <c r="BF147" s="267">
        <v>5.3288450018155196</v>
      </c>
      <c r="BG147" s="263"/>
      <c r="BH147" s="267">
        <v>3.3170409464810904</v>
      </c>
      <c r="BI147" s="263"/>
      <c r="BJ147" s="267">
        <v>4.024213731096391</v>
      </c>
      <c r="BK147" s="263"/>
      <c r="BL147" s="193">
        <v>7.6473525309444907</v>
      </c>
      <c r="BM147" s="189"/>
      <c r="BN147" s="193">
        <v>8.2192530996901958</v>
      </c>
      <c r="BO147" s="189"/>
      <c r="BP147" s="193">
        <v>5.0460606599099558</v>
      </c>
      <c r="BQ147" s="189"/>
      <c r="BR147" s="193">
        <v>6.2464724328648558</v>
      </c>
      <c r="BS147" s="189"/>
      <c r="BT147" s="207">
        <v>5.5218616999938002</v>
      </c>
      <c r="BU147" s="203"/>
      <c r="BV147" s="207">
        <v>4.4844625399653149</v>
      </c>
      <c r="BW147" s="203"/>
      <c r="BX147" s="207">
        <v>8.7538202191650996</v>
      </c>
      <c r="BY147" s="203"/>
      <c r="BZ147" s="207">
        <v>6.2505557141796553</v>
      </c>
      <c r="CA147" s="203"/>
      <c r="CB147" s="207">
        <v>5.1191438393286441</v>
      </c>
      <c r="CC147" s="203"/>
      <c r="CD147" s="207">
        <v>9.0108247801935022</v>
      </c>
      <c r="CE147" s="203"/>
      <c r="CF147" s="207">
        <v>4.3523869073385697</v>
      </c>
      <c r="CG147" s="203"/>
      <c r="CH147" s="207">
        <v>9.3399935741259164</v>
      </c>
      <c r="CI147" s="203"/>
      <c r="CJ147" s="221">
        <v>7.5309304137302302</v>
      </c>
      <c r="CK147" s="217"/>
      <c r="CL147" s="221">
        <v>6.7766024686781154</v>
      </c>
      <c r="CM147" s="217"/>
      <c r="CN147" s="221">
        <v>5.5230641816250881</v>
      </c>
      <c r="CO147" s="217"/>
      <c r="CP147" s="221">
        <v>7.9562196908206309</v>
      </c>
      <c r="CQ147" s="217"/>
      <c r="CR147" s="251">
        <v>10.198068676678366</v>
      </c>
      <c r="CS147" s="247"/>
      <c r="CT147" s="251">
        <v>8.8184716310868332</v>
      </c>
      <c r="CU147" s="247"/>
      <c r="CV147" s="251">
        <v>4.5494252863590408</v>
      </c>
      <c r="CW147" s="247"/>
      <c r="CX147" s="251">
        <v>6.58024103424719</v>
      </c>
      <c r="CY147" s="247"/>
      <c r="CZ147" s="236">
        <v>5.021318655042962</v>
      </c>
      <c r="DA147" s="232"/>
      <c r="DB147" s="236">
        <v>5.9943327910697537</v>
      </c>
      <c r="DC147" s="232"/>
      <c r="DD147" s="236">
        <v>9.7071846096422583</v>
      </c>
      <c r="DE147" s="232"/>
      <c r="DF147" s="236">
        <v>11.359512990368492</v>
      </c>
      <c r="DG147" s="232"/>
      <c r="DH147" s="236">
        <v>5.0068966160914821</v>
      </c>
      <c r="DI147" s="232"/>
      <c r="DJ147" s="236">
        <v>8.5046018780505808</v>
      </c>
      <c r="DK147" s="232"/>
      <c r="DL147" s="267">
        <v>5.7500729237069441</v>
      </c>
      <c r="DM147" s="263"/>
      <c r="DN147" s="267">
        <v>7.3102395497000714</v>
      </c>
      <c r="DO147" s="263"/>
      <c r="DP147" s="267">
        <v>6.3980264364284496</v>
      </c>
      <c r="DQ147" s="263"/>
      <c r="DR147" s="267">
        <v>6.2284928945268705</v>
      </c>
      <c r="DS147" s="263"/>
      <c r="DT147" s="267">
        <v>8.8753732389262865</v>
      </c>
      <c r="DU147" s="263"/>
      <c r="DV147" s="267">
        <v>8.1664727805637245</v>
      </c>
      <c r="DW147" s="263"/>
      <c r="DX147" s="193">
        <v>6.8905987375340825</v>
      </c>
      <c r="DY147" s="189"/>
      <c r="DZ147" s="193">
        <v>7.0788142982225004</v>
      </c>
      <c r="EA147" s="189"/>
      <c r="EB147" s="193">
        <v>5.9292845730009471</v>
      </c>
      <c r="EC147" s="189"/>
      <c r="ED147" s="193">
        <v>9.3149947541768192</v>
      </c>
      <c r="EE147" s="189"/>
      <c r="EF147" s="193">
        <v>6.6050507850566307</v>
      </c>
      <c r="EG147" s="189"/>
      <c r="EH147" s="193">
        <v>3.3359236075686858</v>
      </c>
      <c r="EI147" s="189"/>
    </row>
    <row r="148" spans="1:139" outlineLevel="1" x14ac:dyDescent="0.2">
      <c r="A148"/>
      <c r="B148" s="11" t="s">
        <v>154</v>
      </c>
      <c r="C148" s="12">
        <v>6.6301917285343412</v>
      </c>
      <c r="D148" s="193">
        <v>6.6338887913296425</v>
      </c>
      <c r="E148" s="189"/>
      <c r="F148" s="193">
        <v>6.6263542400895341</v>
      </c>
      <c r="G148" s="189"/>
      <c r="H148" s="207">
        <v>4.7461447187342838</v>
      </c>
      <c r="I148" s="203"/>
      <c r="J148" s="207">
        <v>4.5397711009859067</v>
      </c>
      <c r="K148" s="203"/>
      <c r="L148" s="207">
        <v>9.8023752188546336</v>
      </c>
      <c r="M148" s="203"/>
      <c r="N148" s="207">
        <v>9.9712133477861169</v>
      </c>
      <c r="O148" s="203"/>
      <c r="P148" s="221">
        <v>4.3765972293940871</v>
      </c>
      <c r="Q148" s="217"/>
      <c r="R148" s="221">
        <v>4.3849464171899779</v>
      </c>
      <c r="S148" s="217"/>
      <c r="T148" s="221">
        <v>11.421001551195472</v>
      </c>
      <c r="U148" s="217"/>
      <c r="V148" s="221">
        <v>11.45106109461546</v>
      </c>
      <c r="W148" s="217"/>
      <c r="X148" s="251">
        <v>3.6818028680529427</v>
      </c>
      <c r="Y148" s="247"/>
      <c r="Z148" s="251">
        <v>10.66669474716068</v>
      </c>
      <c r="AA148" s="247"/>
      <c r="AB148" s="251">
        <v>14.700675133374252</v>
      </c>
      <c r="AC148" s="247"/>
      <c r="AD148" s="251">
        <v>7.4828093929780355</v>
      </c>
      <c r="AE148" s="247"/>
      <c r="AF148" s="251">
        <v>11.975532797475758</v>
      </c>
      <c r="AG148" s="247"/>
      <c r="AH148" s="251">
        <v>12.881428327353495</v>
      </c>
      <c r="AI148" s="247"/>
      <c r="AJ148" s="236">
        <v>4.8385429878707598</v>
      </c>
      <c r="AK148" s="232"/>
      <c r="AL148" s="236">
        <v>12.302531919497945</v>
      </c>
      <c r="AM148" s="232"/>
      <c r="AN148" s="236">
        <v>15.6040867547968</v>
      </c>
      <c r="AO148" s="232"/>
      <c r="AP148" s="236">
        <v>10.428526753555499</v>
      </c>
      <c r="AQ148" s="232"/>
      <c r="AR148" s="236">
        <v>12.076779525459878</v>
      </c>
      <c r="AS148" s="232"/>
      <c r="AT148" s="236">
        <v>14.022874962672418</v>
      </c>
      <c r="AU148" s="232"/>
      <c r="AV148" s="267">
        <v>6.3347707447533859</v>
      </c>
      <c r="AW148" s="263"/>
      <c r="AX148" s="267">
        <v>9.0527941480747707</v>
      </c>
      <c r="AY148" s="263"/>
      <c r="AZ148" s="267">
        <v>9.3478835575709329</v>
      </c>
      <c r="BA148" s="263"/>
      <c r="BB148" s="267">
        <v>5.7147018646503795</v>
      </c>
      <c r="BC148" s="263"/>
      <c r="BD148" s="267">
        <v>3.7916232137696069</v>
      </c>
      <c r="BE148" s="263"/>
      <c r="BF148" s="267">
        <v>5.7913109362444564</v>
      </c>
      <c r="BG148" s="263"/>
      <c r="BH148" s="267">
        <v>3.3279839689740216</v>
      </c>
      <c r="BI148" s="263"/>
      <c r="BJ148" s="267">
        <v>6.5620812795520997</v>
      </c>
      <c r="BK148" s="263"/>
      <c r="BL148" s="193">
        <v>6.9700251383703433</v>
      </c>
      <c r="BM148" s="189"/>
      <c r="BN148" s="193">
        <v>7.3820006055867831</v>
      </c>
      <c r="BO148" s="189"/>
      <c r="BP148" s="193">
        <v>6.3077309146534013</v>
      </c>
      <c r="BQ148" s="189"/>
      <c r="BR148" s="193">
        <v>5.8864180240866721</v>
      </c>
      <c r="BS148" s="189"/>
      <c r="BT148" s="207">
        <v>8.0703571467646</v>
      </c>
      <c r="BU148" s="203"/>
      <c r="BV148" s="207">
        <v>3.9385399082019643</v>
      </c>
      <c r="BW148" s="203"/>
      <c r="BX148" s="207">
        <v>5.9889445882856274</v>
      </c>
      <c r="BY148" s="203"/>
      <c r="BZ148" s="207">
        <v>7.559414832602017</v>
      </c>
      <c r="CA148" s="203"/>
      <c r="CB148" s="207">
        <v>5.8222811730739741</v>
      </c>
      <c r="CC148" s="203"/>
      <c r="CD148" s="207">
        <v>5.7741971084869217</v>
      </c>
      <c r="CE148" s="203"/>
      <c r="CF148" s="207">
        <v>7.2374264505475132</v>
      </c>
      <c r="CG148" s="203"/>
      <c r="CH148" s="207">
        <v>8.3398528580491753</v>
      </c>
      <c r="CI148" s="203"/>
      <c r="CJ148" s="221">
        <v>8.435036319863805</v>
      </c>
      <c r="CK148" s="217"/>
      <c r="CL148" s="221">
        <v>8.1975323375757458</v>
      </c>
      <c r="CM148" s="217"/>
      <c r="CN148" s="221">
        <v>4.7801846392049336</v>
      </c>
      <c r="CO148" s="217"/>
      <c r="CP148" s="221">
        <v>4.3442016252995135</v>
      </c>
      <c r="CQ148" s="217"/>
      <c r="CR148" s="251">
        <v>8.958245807971732</v>
      </c>
      <c r="CS148" s="247"/>
      <c r="CT148" s="251">
        <v>9.7107253370868101</v>
      </c>
      <c r="CU148" s="247"/>
      <c r="CV148" s="251">
        <v>5.6740960734203592</v>
      </c>
      <c r="CW148" s="247"/>
      <c r="CX148" s="251">
        <v>5.1189423827426657</v>
      </c>
      <c r="CY148" s="247"/>
      <c r="CZ148" s="236">
        <v>6.2141247253313221</v>
      </c>
      <c r="DA148" s="232"/>
      <c r="DB148" s="236">
        <v>5.8181409056443858</v>
      </c>
      <c r="DC148" s="232"/>
      <c r="DD148" s="236">
        <v>7.3689761563143135</v>
      </c>
      <c r="DE148" s="232"/>
      <c r="DF148" s="236">
        <v>9.4424793217604091</v>
      </c>
      <c r="DG148" s="232"/>
      <c r="DH148" s="236">
        <v>8.7432025498479682</v>
      </c>
      <c r="DI148" s="232"/>
      <c r="DJ148" s="236">
        <v>8.1056518271814912</v>
      </c>
      <c r="DK148" s="232"/>
      <c r="DL148" s="267">
        <v>2.8378554748409051</v>
      </c>
      <c r="DM148" s="263"/>
      <c r="DN148" s="267">
        <v>5.6678828192006971</v>
      </c>
      <c r="DO148" s="263" t="s">
        <v>228</v>
      </c>
      <c r="DP148" s="267">
        <v>9.916146367741657</v>
      </c>
      <c r="DQ148" s="263"/>
      <c r="DR148" s="267">
        <v>7.8195939763115749</v>
      </c>
      <c r="DS148" s="263"/>
      <c r="DT148" s="267">
        <v>9.6847500682363865</v>
      </c>
      <c r="DU148" s="263"/>
      <c r="DV148" s="267">
        <v>7.0890717365413751</v>
      </c>
      <c r="DW148" s="263"/>
      <c r="DX148" s="193">
        <v>5.0696223807567327</v>
      </c>
      <c r="DY148" s="189"/>
      <c r="DZ148" s="193">
        <v>5.6178496110408753</v>
      </c>
      <c r="EA148" s="189"/>
      <c r="EB148" s="193">
        <v>6.1958610104310505</v>
      </c>
      <c r="EC148" s="189"/>
      <c r="ED148" s="193">
        <v>6.3627964229868743</v>
      </c>
      <c r="EE148" s="189"/>
      <c r="EF148" s="193">
        <v>9.8825722911659817</v>
      </c>
      <c r="EG148" s="189"/>
      <c r="EH148" s="193">
        <v>8.7150968492412719</v>
      </c>
      <c r="EI148" s="189"/>
    </row>
    <row r="149" spans="1:139" outlineLevel="1" x14ac:dyDescent="0.2">
      <c r="A149"/>
      <c r="B149"/>
      <c r="E149" s="187"/>
      <c r="G149" s="187"/>
      <c r="I149" s="201"/>
      <c r="K149" s="201"/>
      <c r="M149" s="201"/>
      <c r="O149" s="201"/>
      <c r="Q149" s="215"/>
      <c r="S149" s="215"/>
      <c r="U149" s="215"/>
      <c r="W149" s="215"/>
      <c r="Y149" s="245"/>
      <c r="AA149" s="245"/>
      <c r="AC149" s="245"/>
      <c r="AE149" s="245"/>
      <c r="AG149" s="245"/>
      <c r="AI149" s="245"/>
      <c r="AK149" s="230"/>
      <c r="AM149" s="230"/>
      <c r="AO149" s="230"/>
      <c r="AQ149" s="230"/>
      <c r="AS149" s="230"/>
      <c r="AU149" s="230"/>
      <c r="AW149" s="261"/>
      <c r="AY149" s="261"/>
      <c r="BA149" s="261"/>
      <c r="BC149" s="261"/>
      <c r="BE149" s="261"/>
      <c r="BG149" s="261"/>
      <c r="BI149" s="261"/>
      <c r="BK149" s="261"/>
      <c r="BM149" s="187"/>
      <c r="BO149" s="187"/>
      <c r="BQ149" s="187"/>
      <c r="BS149" s="187"/>
      <c r="BU149" s="201"/>
      <c r="BW149" s="201"/>
      <c r="BY149" s="201"/>
      <c r="CA149" s="201"/>
      <c r="CC149" s="201"/>
      <c r="CE149" s="201"/>
      <c r="CG149" s="201"/>
      <c r="CI149" s="201"/>
      <c r="CK149" s="215"/>
      <c r="CM149" s="215"/>
      <c r="CO149" s="215"/>
      <c r="CQ149" s="215"/>
      <c r="CS149" s="245"/>
      <c r="CU149" s="245"/>
      <c r="CW149" s="245"/>
      <c r="CY149" s="245"/>
      <c r="DA149" s="230"/>
      <c r="DC149" s="230"/>
      <c r="DE149" s="230"/>
      <c r="DG149" s="230"/>
      <c r="DI149" s="230"/>
      <c r="DK149" s="230"/>
      <c r="DM149" s="261"/>
      <c r="DO149" s="261"/>
      <c r="DQ149" s="261"/>
      <c r="DS149" s="261"/>
      <c r="DU149" s="261"/>
      <c r="DW149" s="261"/>
      <c r="DY149" s="187"/>
      <c r="EA149" s="187"/>
      <c r="EC149" s="187"/>
      <c r="EE149" s="187"/>
      <c r="EG149" s="187"/>
      <c r="EI149" s="187"/>
    </row>
    <row r="150" spans="1:139" x14ac:dyDescent="0.2">
      <c r="A150"/>
      <c r="B150"/>
      <c r="E150" s="187"/>
      <c r="G150" s="187"/>
      <c r="I150" s="201"/>
      <c r="K150" s="201"/>
      <c r="M150" s="201"/>
      <c r="O150" s="201"/>
      <c r="Q150" s="215"/>
      <c r="S150" s="215"/>
      <c r="U150" s="215"/>
      <c r="W150" s="215"/>
      <c r="Y150" s="245"/>
      <c r="AA150" s="245"/>
      <c r="AC150" s="245"/>
      <c r="AE150" s="245"/>
      <c r="AG150" s="245"/>
      <c r="AI150" s="245"/>
      <c r="AK150" s="230"/>
      <c r="AM150" s="230"/>
      <c r="AO150" s="230"/>
      <c r="AQ150" s="230"/>
      <c r="AS150" s="230"/>
      <c r="AU150" s="230"/>
      <c r="AW150" s="261"/>
      <c r="AY150" s="261"/>
      <c r="BA150" s="261"/>
      <c r="BC150" s="261"/>
      <c r="BE150" s="261"/>
      <c r="BG150" s="261"/>
      <c r="BI150" s="261"/>
      <c r="BK150" s="261"/>
      <c r="BM150" s="187"/>
      <c r="BO150" s="187"/>
      <c r="BQ150" s="187"/>
      <c r="BS150" s="187"/>
      <c r="BU150" s="201"/>
      <c r="BW150" s="201"/>
      <c r="BY150" s="201"/>
      <c r="CA150" s="201"/>
      <c r="CC150" s="201"/>
      <c r="CE150" s="201"/>
      <c r="CG150" s="201"/>
      <c r="CI150" s="201"/>
      <c r="CK150" s="215"/>
      <c r="CM150" s="215"/>
      <c r="CO150" s="215"/>
      <c r="CQ150" s="215"/>
      <c r="CS150" s="245"/>
      <c r="CU150" s="245"/>
      <c r="CW150" s="245"/>
      <c r="CY150" s="245"/>
      <c r="DA150" s="230"/>
      <c r="DC150" s="230"/>
      <c r="DE150" s="230"/>
      <c r="DG150" s="230"/>
      <c r="DI150" s="230"/>
      <c r="DK150" s="230"/>
      <c r="DM150" s="261"/>
      <c r="DO150" s="261"/>
      <c r="DQ150" s="261"/>
      <c r="DS150" s="261"/>
      <c r="DU150" s="261"/>
      <c r="DW150" s="261"/>
      <c r="DY150" s="187"/>
      <c r="EA150" s="187"/>
      <c r="EC150" s="187"/>
      <c r="EE150" s="187"/>
      <c r="EG150" s="187"/>
      <c r="EI150" s="187"/>
    </row>
    <row r="151" spans="1:139" x14ac:dyDescent="0.2">
      <c r="A151" s="6" t="s">
        <v>155</v>
      </c>
      <c r="B151" s="7" t="s">
        <v>156</v>
      </c>
      <c r="E151" s="187"/>
      <c r="G151" s="187"/>
      <c r="I151" s="201"/>
      <c r="K151" s="201"/>
      <c r="M151" s="201"/>
      <c r="O151" s="201"/>
      <c r="Q151" s="215"/>
      <c r="S151" s="215"/>
      <c r="U151" s="215"/>
      <c r="W151" s="215"/>
      <c r="Y151" s="245"/>
      <c r="AA151" s="245"/>
      <c r="AC151" s="245"/>
      <c r="AE151" s="245"/>
      <c r="AG151" s="245"/>
      <c r="AI151" s="245"/>
      <c r="AK151" s="230"/>
      <c r="AM151" s="230"/>
      <c r="AO151" s="230"/>
      <c r="AQ151" s="230"/>
      <c r="AS151" s="230"/>
      <c r="AU151" s="230"/>
      <c r="AW151" s="261"/>
      <c r="AY151" s="261"/>
      <c r="BA151" s="261"/>
      <c r="BC151" s="261"/>
      <c r="BE151" s="261"/>
      <c r="BG151" s="261"/>
      <c r="BI151" s="261"/>
      <c r="BK151" s="261"/>
      <c r="BM151" s="187"/>
      <c r="BO151" s="187"/>
      <c r="BQ151" s="187"/>
      <c r="BS151" s="187"/>
      <c r="BU151" s="201"/>
      <c r="BW151" s="201"/>
      <c r="BY151" s="201"/>
      <c r="CA151" s="201"/>
      <c r="CC151" s="201"/>
      <c r="CE151" s="201"/>
      <c r="CG151" s="201"/>
      <c r="CI151" s="201"/>
      <c r="CK151" s="215"/>
      <c r="CM151" s="215"/>
      <c r="CO151" s="215"/>
      <c r="CQ151" s="215"/>
      <c r="CS151" s="245"/>
      <c r="CU151" s="245"/>
      <c r="CW151" s="245"/>
      <c r="CY151" s="245"/>
      <c r="DA151" s="230"/>
      <c r="DC151" s="230"/>
      <c r="DE151" s="230"/>
      <c r="DG151" s="230"/>
      <c r="DI151" s="230"/>
      <c r="DK151" s="230"/>
      <c r="DM151" s="261"/>
      <c r="DO151" s="261"/>
      <c r="DQ151" s="261"/>
      <c r="DS151" s="261"/>
      <c r="DU151" s="261"/>
      <c r="DW151" s="261"/>
      <c r="DY151" s="187"/>
      <c r="EA151" s="187"/>
      <c r="EC151" s="187"/>
      <c r="EE151" s="187"/>
      <c r="EG151" s="187"/>
      <c r="EI151" s="187"/>
    </row>
    <row r="152" spans="1:139" outlineLevel="1" x14ac:dyDescent="0.2">
      <c r="A152"/>
      <c r="B152" s="9" t="s">
        <v>63</v>
      </c>
      <c r="C152" s="8">
        <f>697.229271339924+34.7707286600755</f>
        <v>731.99999999999955</v>
      </c>
      <c r="D152" s="188">
        <f>352.928444129701+12.0715558702993</f>
        <v>365.00000000000028</v>
      </c>
      <c r="E152" s="189"/>
      <c r="F152" s="188">
        <f>344.344915978557+22.6550840214431</f>
        <v>367.00000000000011</v>
      </c>
      <c r="G152" s="189"/>
      <c r="H152" s="202">
        <f>0+0</f>
        <v>0</v>
      </c>
      <c r="I152" s="203"/>
      <c r="J152" s="202">
        <f>0+0</f>
        <v>0</v>
      </c>
      <c r="K152" s="203"/>
      <c r="L152" s="202">
        <f>352.928444129701+12.0715558702993</f>
        <v>365.00000000000028</v>
      </c>
      <c r="M152" s="203"/>
      <c r="N152" s="202">
        <f>344.344915978557+22.6550840214431</f>
        <v>367.00000000000011</v>
      </c>
      <c r="O152" s="203"/>
      <c r="P152" s="216">
        <f>51.2287166666667+1.77128333333333</f>
        <v>53.000000000000028</v>
      </c>
      <c r="Q152" s="217"/>
      <c r="R152" s="216">
        <f>57.3559380528055+4.64406194719454</f>
        <v>62.000000000000043</v>
      </c>
      <c r="S152" s="217"/>
      <c r="T152" s="216">
        <f>301.732918900987+10.2670810990132</f>
        <v>312.00000000000017</v>
      </c>
      <c r="U152" s="217"/>
      <c r="V152" s="216">
        <f>287.140440951688+17.8595590483123</f>
        <v>305.00000000000028</v>
      </c>
      <c r="W152" s="217"/>
      <c r="X152" s="246">
        <f>108.171904333963+4.82809566603692</f>
        <v>112.99999999999991</v>
      </c>
      <c r="Y152" s="247"/>
      <c r="Z152" s="246">
        <f>100.435584999034+3.56441500096641</f>
        <v>104.00000000000041</v>
      </c>
      <c r="AA152" s="247"/>
      <c r="AB152" s="246">
        <f>97.1245187341028+1.87548126589725</f>
        <v>99.000000000000043</v>
      </c>
      <c r="AC152" s="247"/>
      <c r="AD152" s="246">
        <f>89.7922517565178+7.20774824348219</f>
        <v>96.999999999999986</v>
      </c>
      <c r="AE152" s="247"/>
      <c r="AF152" s="246">
        <f>83.2058580005259+5.79414199947415</f>
        <v>89.000000000000043</v>
      </c>
      <c r="AG152" s="247"/>
      <c r="AH152" s="246">
        <f>105.139139086837+4.86086091316319</f>
        <v>110.0000000000002</v>
      </c>
      <c r="AI152" s="247"/>
      <c r="AJ152" s="231">
        <f>81.347414494191+3.65258550580896</f>
        <v>84.999999999999957</v>
      </c>
      <c r="AK152" s="232"/>
      <c r="AL152" s="231">
        <f>86.7773955885698+3.22260441143024</f>
        <v>90.000000000000043</v>
      </c>
      <c r="AM152" s="232"/>
      <c r="AN152" s="231">
        <f>91.2486792832434+1.75132071675662</f>
        <v>93.000000000000028</v>
      </c>
      <c r="AO152" s="232"/>
      <c r="AP152" s="231">
        <f>61.5558959595598+3.44410404044016</f>
        <v>64.999999999999957</v>
      </c>
      <c r="AQ152" s="232"/>
      <c r="AR152" s="231">
        <f>72.5600476663241+5.43995233367595</f>
        <v>78.000000000000043</v>
      </c>
      <c r="AS152" s="232"/>
      <c r="AT152" s="231">
        <f>96.2370441283936+4.76295587160638</f>
        <v>100.99999999999999</v>
      </c>
      <c r="AU152" s="232"/>
      <c r="AV152" s="262">
        <f>98.2175316697926+3.78246833020738</f>
        <v>101.99999999999999</v>
      </c>
      <c r="AW152" s="263"/>
      <c r="AX152" s="262">
        <f>111.212121090461+3.78787890953862</f>
        <v>114.99999999999962</v>
      </c>
      <c r="AY152" s="263"/>
      <c r="AZ152" s="262">
        <f>182.625386094129+5.37461390587058</f>
        <v>187.99999999999957</v>
      </c>
      <c r="BA152" s="263"/>
      <c r="BB152" s="262">
        <f>143.59437549496+11.40562450504</f>
        <v>155</v>
      </c>
      <c r="BC152" s="263"/>
      <c r="BD152" s="262">
        <f>55.0827909055902+1.91720909440984</f>
        <v>57.000000000000043</v>
      </c>
      <c r="BE152" s="263"/>
      <c r="BF152" s="262">
        <f>59.9466521560026+2.05334784399742</f>
        <v>62.000000000000021</v>
      </c>
      <c r="BG152" s="263"/>
      <c r="BH152" s="262">
        <f>17.5618602154537+0.438139784546276</f>
        <v>17.999999999999975</v>
      </c>
      <c r="BI152" s="263"/>
      <c r="BJ152" s="262">
        <f>34.1214868355246+0.878513164475386</f>
        <v>34.999999999999986</v>
      </c>
      <c r="BK152" s="263"/>
      <c r="BL152" s="188">
        <f>145.963130282248+5.03686971775213</f>
        <v>151.00000000000011</v>
      </c>
      <c r="BM152" s="189"/>
      <c r="BN152" s="188">
        <f>139.732424098933+6.26757590106735</f>
        <v>146.00000000000034</v>
      </c>
      <c r="BO152" s="189"/>
      <c r="BP152" s="188">
        <f>207.320535567104+6.67946443289588</f>
        <v>213.99999999999989</v>
      </c>
      <c r="BQ152" s="189"/>
      <c r="BR152" s="188">
        <f>204.620555649693+16.3794443503072</f>
        <v>221.0000000000002</v>
      </c>
      <c r="BS152" s="189"/>
      <c r="BT152" s="202">
        <f>57.0726180104669+1.92738198953312</f>
        <v>59.000000000000014</v>
      </c>
      <c r="BU152" s="203"/>
      <c r="BV152" s="202">
        <f>57.2321873773515+1.76781262264853</f>
        <v>59.000000000000028</v>
      </c>
      <c r="BW152" s="203"/>
      <c r="BX152" s="202">
        <f>158.934215900058+5.06578409994151</f>
        <v>163.99999999999952</v>
      </c>
      <c r="BY152" s="203"/>
      <c r="BZ152" s="202">
        <f>162.542313829788+2.4576861702119</f>
        <v>164.99999999999989</v>
      </c>
      <c r="CA152" s="203"/>
      <c r="CB152" s="202">
        <f>84.899031226348+2.10096877365201</f>
        <v>87.000000000000014</v>
      </c>
      <c r="CC152" s="203"/>
      <c r="CD152" s="202">
        <f>69.2642492563552+2.73575074364484</f>
        <v>72.000000000000043</v>
      </c>
      <c r="CE152" s="203"/>
      <c r="CF152" s="202">
        <f>52.9587192079324+2.0412807920676</f>
        <v>55</v>
      </c>
      <c r="CG152" s="203"/>
      <c r="CH152" s="202">
        <f>64.5599145867224+6.44008541327759</f>
        <v>70.999999999999986</v>
      </c>
      <c r="CI152" s="203"/>
      <c r="CJ152" s="216">
        <f>216.997200855537+7.00279914446281</f>
        <v>223.9999999999998</v>
      </c>
      <c r="CK152" s="217"/>
      <c r="CL152" s="216">
        <f>220.569122335491+12.4308776645093</f>
        <v>233.00000000000028</v>
      </c>
      <c r="CM152" s="217"/>
      <c r="CN152" s="216">
        <f>118.765198290158+4.23480170984192</f>
        <v>122.99999999999991</v>
      </c>
      <c r="CO152" s="217"/>
      <c r="CP152" s="216">
        <f>106.248987327734+8.75101267226572</f>
        <v>114.99999999999972</v>
      </c>
      <c r="CQ152" s="217"/>
      <c r="CR152" s="246">
        <f>147.7075118435+4.29248815650027</f>
        <v>152.00000000000026</v>
      </c>
      <c r="CS152" s="247"/>
      <c r="CT152" s="246">
        <f>158.540933933221+5.45906606677949</f>
        <v>164.00000000000048</v>
      </c>
      <c r="CU152" s="247"/>
      <c r="CV152" s="246">
        <f>204.364384571867+7.63561542813255</f>
        <v>211.99999999999955</v>
      </c>
      <c r="CW152" s="247"/>
      <c r="CX152" s="246">
        <f>183.71663875021+15.2833612497903</f>
        <v>199.00000000000028</v>
      </c>
      <c r="CY152" s="247"/>
      <c r="CZ152" s="231">
        <f>239.89183113749+6.10816886250979</f>
        <v>245.99999999999977</v>
      </c>
      <c r="DA152" s="232"/>
      <c r="DB152" s="231">
        <f>246.611950994608+14.3880490053925</f>
        <v>261.00000000000051</v>
      </c>
      <c r="DC152" s="232"/>
      <c r="DD152" s="231">
        <f>73.1545411997509+3.84545880024913</f>
        <v>77.000000000000028</v>
      </c>
      <c r="DE152" s="232"/>
      <c r="DF152" s="231">
        <f>57.7111736354604+5.28882636453959</f>
        <v>62.999999999999986</v>
      </c>
      <c r="DG152" s="232"/>
      <c r="DH152" s="231">
        <f>59.2561345968836+4.74386540311635</f>
        <v>63.99999999999995</v>
      </c>
      <c r="DI152" s="232"/>
      <c r="DJ152" s="231">
        <f>43.9236974827362+3.07630251726383</f>
        <v>47.000000000000028</v>
      </c>
      <c r="DK152" s="232"/>
      <c r="DL152" s="262">
        <f>108.171904333963+4.82809566603692</f>
        <v>112.99999999999991</v>
      </c>
      <c r="DM152" s="263"/>
      <c r="DN152" s="262">
        <f>89.7922517565178+7.20774824348219</f>
        <v>96.999999999999986</v>
      </c>
      <c r="DO152" s="263"/>
      <c r="DP152" s="262">
        <f>97.1245187341028+1.87548126589725</f>
        <v>99.000000000000043</v>
      </c>
      <c r="DQ152" s="263"/>
      <c r="DR152" s="262">
        <f>105.139139086837+4.86086091316319</f>
        <v>110.0000000000002</v>
      </c>
      <c r="DS152" s="263"/>
      <c r="DT152" s="262">
        <f>100.435584999034+3.56441500096641</f>
        <v>104.00000000000041</v>
      </c>
      <c r="DU152" s="263"/>
      <c r="DV152" s="262">
        <f>83.2058580005259+5.79414199947415</f>
        <v>89.000000000000043</v>
      </c>
      <c r="DW152" s="263"/>
      <c r="DX152" s="188">
        <f>94.5860827725069+4.41391722749312</f>
        <v>99.000000000000014</v>
      </c>
      <c r="DY152" s="189"/>
      <c r="DZ152" s="188">
        <f>95.3832668771317+6.61673312286825</f>
        <v>101.99999999999996</v>
      </c>
      <c r="EA152" s="189"/>
      <c r="EB152" s="188">
        <f>156.872763979102+5.12723602089835</f>
        <v>162.00000000000034</v>
      </c>
      <c r="EC152" s="189"/>
      <c r="ED152" s="188">
        <f>144.654993442741+9.34500655725901</f>
        <v>154</v>
      </c>
      <c r="EE152" s="189"/>
      <c r="EF152" s="188">
        <f>101.52414043422+2.47585956577981</f>
        <v>103.99999999999982</v>
      </c>
      <c r="EG152" s="189"/>
      <c r="EH152" s="188">
        <f>104.388665716211+6.61133428378928</f>
        <v>111.00000000000027</v>
      </c>
      <c r="EI152" s="189"/>
    </row>
    <row r="153" spans="1:139" s="18" customFormat="1" outlineLevel="1" x14ac:dyDescent="0.2">
      <c r="A153"/>
      <c r="B153" s="16"/>
      <c r="C153" s="17" t="s">
        <v>167</v>
      </c>
      <c r="D153" s="190" t="s">
        <v>167</v>
      </c>
      <c r="E153" s="191"/>
      <c r="F153" s="190" t="s">
        <v>167</v>
      </c>
      <c r="G153" s="191"/>
      <c r="H153" s="204" t="s">
        <v>167</v>
      </c>
      <c r="I153" s="205"/>
      <c r="J153" s="204" t="s">
        <v>167</v>
      </c>
      <c r="K153" s="205"/>
      <c r="L153" s="204" t="s">
        <v>167</v>
      </c>
      <c r="M153" s="205"/>
      <c r="N153" s="204" t="s">
        <v>167</v>
      </c>
      <c r="O153" s="205"/>
      <c r="P153" s="218" t="s">
        <v>167</v>
      </c>
      <c r="Q153" s="219"/>
      <c r="R153" s="218" t="s">
        <v>167</v>
      </c>
      <c r="S153" s="219"/>
      <c r="T153" s="218" t="s">
        <v>167</v>
      </c>
      <c r="U153" s="219"/>
      <c r="V153" s="218" t="s">
        <v>167</v>
      </c>
      <c r="W153" s="219"/>
      <c r="X153" s="248" t="s">
        <v>167</v>
      </c>
      <c r="Y153" s="249"/>
      <c r="Z153" s="248" t="s">
        <v>167</v>
      </c>
      <c r="AA153" s="249"/>
      <c r="AB153" s="248" t="s">
        <v>167</v>
      </c>
      <c r="AC153" s="249"/>
      <c r="AD153" s="248" t="s">
        <v>167</v>
      </c>
      <c r="AE153" s="249"/>
      <c r="AF153" s="248" t="s">
        <v>167</v>
      </c>
      <c r="AG153" s="249"/>
      <c r="AH153" s="248" t="s">
        <v>167</v>
      </c>
      <c r="AI153" s="249"/>
      <c r="AJ153" s="233" t="s">
        <v>167</v>
      </c>
      <c r="AK153" s="234"/>
      <c r="AL153" s="233" t="s">
        <v>167</v>
      </c>
      <c r="AM153" s="234"/>
      <c r="AN153" s="233" t="s">
        <v>167</v>
      </c>
      <c r="AO153" s="234"/>
      <c r="AP153" s="233" t="s">
        <v>167</v>
      </c>
      <c r="AQ153" s="234"/>
      <c r="AR153" s="233" t="s">
        <v>167</v>
      </c>
      <c r="AS153" s="234"/>
      <c r="AT153" s="233" t="s">
        <v>167</v>
      </c>
      <c r="AU153" s="234"/>
      <c r="AV153" s="264" t="s">
        <v>167</v>
      </c>
      <c r="AW153" s="265"/>
      <c r="AX153" s="264" t="s">
        <v>167</v>
      </c>
      <c r="AY153" s="265"/>
      <c r="AZ153" s="264" t="s">
        <v>167</v>
      </c>
      <c r="BA153" s="265"/>
      <c r="BB153" s="264" t="s">
        <v>167</v>
      </c>
      <c r="BC153" s="265"/>
      <c r="BD153" s="264" t="s">
        <v>167</v>
      </c>
      <c r="BE153" s="265"/>
      <c r="BF153" s="264" t="s">
        <v>167</v>
      </c>
      <c r="BG153" s="265"/>
      <c r="BH153" s="264" t="s">
        <v>167</v>
      </c>
      <c r="BI153" s="265"/>
      <c r="BJ153" s="264" t="s">
        <v>167</v>
      </c>
      <c r="BK153" s="265"/>
      <c r="BL153" s="190" t="s">
        <v>167</v>
      </c>
      <c r="BM153" s="191"/>
      <c r="BN153" s="190" t="s">
        <v>167</v>
      </c>
      <c r="BO153" s="191"/>
      <c r="BP153" s="190" t="s">
        <v>167</v>
      </c>
      <c r="BQ153" s="191"/>
      <c r="BR153" s="190" t="s">
        <v>167</v>
      </c>
      <c r="BS153" s="191"/>
      <c r="BT153" s="204" t="s">
        <v>167</v>
      </c>
      <c r="BU153" s="205"/>
      <c r="BV153" s="204" t="s">
        <v>167</v>
      </c>
      <c r="BW153" s="205"/>
      <c r="BX153" s="204" t="s">
        <v>167</v>
      </c>
      <c r="BY153" s="205"/>
      <c r="BZ153" s="204" t="s">
        <v>167</v>
      </c>
      <c r="CA153" s="205"/>
      <c r="CB153" s="204" t="s">
        <v>167</v>
      </c>
      <c r="CC153" s="205"/>
      <c r="CD153" s="204" t="s">
        <v>167</v>
      </c>
      <c r="CE153" s="205"/>
      <c r="CF153" s="204" t="s">
        <v>167</v>
      </c>
      <c r="CG153" s="205"/>
      <c r="CH153" s="204" t="s">
        <v>167</v>
      </c>
      <c r="CI153" s="205"/>
      <c r="CJ153" s="218" t="s">
        <v>167</v>
      </c>
      <c r="CK153" s="219"/>
      <c r="CL153" s="218" t="s">
        <v>167</v>
      </c>
      <c r="CM153" s="219"/>
      <c r="CN153" s="218" t="s">
        <v>167</v>
      </c>
      <c r="CO153" s="219"/>
      <c r="CP153" s="218" t="s">
        <v>167</v>
      </c>
      <c r="CQ153" s="219"/>
      <c r="CR153" s="248" t="s">
        <v>167</v>
      </c>
      <c r="CS153" s="249"/>
      <c r="CT153" s="248" t="s">
        <v>167</v>
      </c>
      <c r="CU153" s="249"/>
      <c r="CV153" s="248" t="s">
        <v>167</v>
      </c>
      <c r="CW153" s="249"/>
      <c r="CX153" s="248" t="s">
        <v>167</v>
      </c>
      <c r="CY153" s="249"/>
      <c r="CZ153" s="233" t="s">
        <v>167</v>
      </c>
      <c r="DA153" s="234"/>
      <c r="DB153" s="233" t="s">
        <v>167</v>
      </c>
      <c r="DC153" s="234"/>
      <c r="DD153" s="233" t="s">
        <v>167</v>
      </c>
      <c r="DE153" s="234"/>
      <c r="DF153" s="233" t="s">
        <v>167</v>
      </c>
      <c r="DG153" s="234"/>
      <c r="DH153" s="233" t="s">
        <v>167</v>
      </c>
      <c r="DI153" s="234"/>
      <c r="DJ153" s="233" t="s">
        <v>167</v>
      </c>
      <c r="DK153" s="234"/>
      <c r="DL153" s="264" t="s">
        <v>167</v>
      </c>
      <c r="DM153" s="265"/>
      <c r="DN153" s="264" t="s">
        <v>167</v>
      </c>
      <c r="DO153" s="265"/>
      <c r="DP153" s="264" t="s">
        <v>167</v>
      </c>
      <c r="DQ153" s="265"/>
      <c r="DR153" s="264" t="s">
        <v>167</v>
      </c>
      <c r="DS153" s="265"/>
      <c r="DT153" s="264" t="s">
        <v>167</v>
      </c>
      <c r="DU153" s="265"/>
      <c r="DV153" s="264" t="s">
        <v>167</v>
      </c>
      <c r="DW153" s="265"/>
      <c r="DX153" s="190" t="s">
        <v>167</v>
      </c>
      <c r="DY153" s="191"/>
      <c r="DZ153" s="190" t="s">
        <v>167</v>
      </c>
      <c r="EA153" s="191"/>
      <c r="EB153" s="190" t="s">
        <v>167</v>
      </c>
      <c r="EC153" s="191"/>
      <c r="ED153" s="190" t="s">
        <v>167</v>
      </c>
      <c r="EE153" s="191"/>
      <c r="EF153" s="190" t="s">
        <v>167</v>
      </c>
      <c r="EG153" s="191"/>
      <c r="EH153" s="190" t="s">
        <v>167</v>
      </c>
      <c r="EI153" s="191"/>
    </row>
    <row r="154" spans="1:139" outlineLevel="1" x14ac:dyDescent="0.2">
      <c r="A154"/>
      <c r="B154"/>
      <c r="E154" s="187"/>
      <c r="G154" s="187"/>
      <c r="I154" s="201"/>
      <c r="K154" s="201"/>
      <c r="M154" s="201"/>
      <c r="O154" s="201"/>
      <c r="Q154" s="215"/>
      <c r="S154" s="215"/>
      <c r="U154" s="215"/>
      <c r="W154" s="215"/>
      <c r="Y154" s="245"/>
      <c r="AA154" s="245"/>
      <c r="AC154" s="245"/>
      <c r="AE154" s="245"/>
      <c r="AG154" s="245"/>
      <c r="AI154" s="245"/>
      <c r="AK154" s="230"/>
      <c r="AM154" s="230"/>
      <c r="AO154" s="230"/>
      <c r="AQ154" s="230"/>
      <c r="AS154" s="230"/>
      <c r="AU154" s="230"/>
      <c r="AW154" s="261"/>
      <c r="AY154" s="261"/>
      <c r="BA154" s="261"/>
      <c r="BC154" s="261"/>
      <c r="BE154" s="261"/>
      <c r="BG154" s="261"/>
      <c r="BI154" s="261"/>
      <c r="BK154" s="261"/>
      <c r="BM154" s="187"/>
      <c r="BO154" s="187"/>
      <c r="BQ154" s="187"/>
      <c r="BS154" s="187"/>
      <c r="BU154" s="201"/>
      <c r="BW154" s="201"/>
      <c r="BY154" s="201"/>
      <c r="CA154" s="201"/>
      <c r="CC154" s="201"/>
      <c r="CE154" s="201"/>
      <c r="CG154" s="201"/>
      <c r="CI154" s="201"/>
      <c r="CK154" s="215"/>
      <c r="CM154" s="215"/>
      <c r="CO154" s="215"/>
      <c r="CQ154" s="215"/>
      <c r="CS154" s="245"/>
      <c r="CU154" s="245"/>
      <c r="CW154" s="245"/>
      <c r="CY154" s="245"/>
      <c r="DA154" s="230"/>
      <c r="DC154" s="230"/>
      <c r="DE154" s="230"/>
      <c r="DG154" s="230"/>
      <c r="DI154" s="230"/>
      <c r="DK154" s="230"/>
      <c r="DM154" s="261"/>
      <c r="DO154" s="261"/>
      <c r="DQ154" s="261"/>
      <c r="DS154" s="261"/>
      <c r="DU154" s="261"/>
      <c r="DW154" s="261"/>
      <c r="DY154" s="187"/>
      <c r="EA154" s="187"/>
      <c r="EC154" s="187"/>
      <c r="EE154" s="187"/>
      <c r="EG154" s="187"/>
      <c r="EI154" s="187"/>
    </row>
    <row r="155" spans="1:139" outlineLevel="1" x14ac:dyDescent="0.2">
      <c r="A155"/>
      <c r="B155" s="7" t="s">
        <v>92</v>
      </c>
      <c r="C155" s="10">
        <v>35.246200617868347</v>
      </c>
      <c r="D155" s="192">
        <v>36.421926704236938</v>
      </c>
      <c r="E155" s="189"/>
      <c r="F155" s="192">
        <v>34.060180293903763</v>
      </c>
      <c r="G155" s="189"/>
      <c r="H155" s="206">
        <v>0</v>
      </c>
      <c r="I155" s="203"/>
      <c r="J155" s="206">
        <v>0</v>
      </c>
      <c r="K155" s="203"/>
      <c r="L155" s="206">
        <v>36.421926704236938</v>
      </c>
      <c r="M155" s="203"/>
      <c r="N155" s="206">
        <v>34.060180293903763</v>
      </c>
      <c r="O155" s="203"/>
      <c r="P155" s="220">
        <v>69.134499107434209</v>
      </c>
      <c r="Q155" s="217"/>
      <c r="R155" s="220">
        <v>76.591212514326742</v>
      </c>
      <c r="S155" s="217"/>
      <c r="T155" s="220">
        <v>31.020232736373472</v>
      </c>
      <c r="U155" s="217"/>
      <c r="V155" s="220">
        <v>25.081841246924927</v>
      </c>
      <c r="W155" s="217"/>
      <c r="X155" s="250">
        <v>43.537497643020615</v>
      </c>
      <c r="Y155" s="247"/>
      <c r="Z155" s="250">
        <v>38.964653039968752</v>
      </c>
      <c r="AA155" s="247" t="s">
        <v>190</v>
      </c>
      <c r="AB155" s="250">
        <v>27.47863651385676</v>
      </c>
      <c r="AC155" s="247"/>
      <c r="AD155" s="250">
        <v>58.86134681259076</v>
      </c>
      <c r="AE155" s="247" t="s">
        <v>108</v>
      </c>
      <c r="AF155" s="250">
        <v>24.886662949211402</v>
      </c>
      <c r="AG155" s="247"/>
      <c r="AH155" s="250">
        <v>21.684131594434003</v>
      </c>
      <c r="AI155" s="247"/>
      <c r="AJ155" s="235">
        <v>33.702918158159292</v>
      </c>
      <c r="AK155" s="232"/>
      <c r="AL155" s="235">
        <v>35.269002645420862</v>
      </c>
      <c r="AM155" s="232" t="s">
        <v>196</v>
      </c>
      <c r="AN155" s="235">
        <v>26.31928972485608</v>
      </c>
      <c r="AO155" s="232"/>
      <c r="AP155" s="235">
        <v>44.77305647566579</v>
      </c>
      <c r="AQ155" s="232"/>
      <c r="AR155" s="235">
        <v>18.352465107533323</v>
      </c>
      <c r="AS155" s="232"/>
      <c r="AT155" s="235">
        <v>15.675621497794443</v>
      </c>
      <c r="AU155" s="232"/>
      <c r="AV155" s="266">
        <v>43.690289297117651</v>
      </c>
      <c r="AW155" s="263"/>
      <c r="AX155" s="266">
        <v>32.266682782980411</v>
      </c>
      <c r="AY155" s="263"/>
      <c r="AZ155" s="266">
        <v>33.050876327291569</v>
      </c>
      <c r="BA155" s="263"/>
      <c r="BB155" s="266">
        <v>37.899146454195233</v>
      </c>
      <c r="BC155" s="263"/>
      <c r="BD155" s="266">
        <v>40.496992331313592</v>
      </c>
      <c r="BE155" s="263"/>
      <c r="BF155" s="266">
        <v>29.068618544570473</v>
      </c>
      <c r="BG155" s="263"/>
      <c r="BH155" s="266">
        <v>15.868477483917083</v>
      </c>
      <c r="BI155" s="263"/>
      <c r="BJ155" s="266">
        <v>28.443552307619928</v>
      </c>
      <c r="BK155" s="263"/>
      <c r="BL155" s="192">
        <v>39.052345946261454</v>
      </c>
      <c r="BM155" s="189"/>
      <c r="BN155" s="192">
        <v>36.043543185166108</v>
      </c>
      <c r="BO155" s="189"/>
      <c r="BP155" s="192">
        <v>34.447408262527929</v>
      </c>
      <c r="BQ155" s="189"/>
      <c r="BR155" s="192">
        <v>32.692369217957626</v>
      </c>
      <c r="BS155" s="189"/>
      <c r="BT155" s="206">
        <v>33.972429119572197</v>
      </c>
      <c r="BU155" s="203"/>
      <c r="BV155" s="206">
        <v>30.606813434311309</v>
      </c>
      <c r="BW155" s="203"/>
      <c r="BX155" s="206">
        <v>36.748390362741844</v>
      </c>
      <c r="BY155" s="203"/>
      <c r="BZ155" s="206">
        <v>32.77614365510609</v>
      </c>
      <c r="CA155" s="203"/>
      <c r="CB155" s="206">
        <v>36.998768728982121</v>
      </c>
      <c r="CC155" s="203"/>
      <c r="CD155" s="206">
        <v>27.26628306661798</v>
      </c>
      <c r="CE155" s="203"/>
      <c r="CF155" s="206">
        <v>37.029236497210107</v>
      </c>
      <c r="CG155" s="203"/>
      <c r="CH155" s="206">
        <v>44.94563992955662</v>
      </c>
      <c r="CI155" s="203"/>
      <c r="CJ155" s="220">
        <v>37.278291481206502</v>
      </c>
      <c r="CK155" s="217"/>
      <c r="CL155" s="220">
        <v>34.089274222696297</v>
      </c>
      <c r="CM155" s="217"/>
      <c r="CN155" s="220">
        <v>34.143926549153839</v>
      </c>
      <c r="CO155" s="217"/>
      <c r="CP155" s="220">
        <v>36.894851814963303</v>
      </c>
      <c r="CQ155" s="217"/>
      <c r="CR155" s="250">
        <v>33.781169938042886</v>
      </c>
      <c r="CS155" s="247"/>
      <c r="CT155" s="250">
        <v>29.803286720265863</v>
      </c>
      <c r="CU155" s="247"/>
      <c r="CV155" s="250">
        <v>38.151355401969198</v>
      </c>
      <c r="CW155" s="247"/>
      <c r="CX155" s="250">
        <v>37.444213753492704</v>
      </c>
      <c r="CY155" s="247"/>
      <c r="CZ155" s="235">
        <v>31.659237480098636</v>
      </c>
      <c r="DA155" s="232"/>
      <c r="DB155" s="235">
        <v>34.395401090284061</v>
      </c>
      <c r="DC155" s="232"/>
      <c r="DD155" s="235">
        <v>46.316317033006371</v>
      </c>
      <c r="DE155" s="232" t="s">
        <v>225</v>
      </c>
      <c r="DF155" s="235">
        <v>25.552077026926401</v>
      </c>
      <c r="DG155" s="232"/>
      <c r="DH155" s="235">
        <v>36.469687509530083</v>
      </c>
      <c r="DI155" s="232"/>
      <c r="DJ155" s="235">
        <v>44.922097234265443</v>
      </c>
      <c r="DK155" s="232"/>
      <c r="DL155" s="266">
        <v>43.537497643020615</v>
      </c>
      <c r="DM155" s="263"/>
      <c r="DN155" s="266">
        <v>58.86134681259076</v>
      </c>
      <c r="DO155" s="263" t="s">
        <v>228</v>
      </c>
      <c r="DP155" s="266">
        <v>27.47863651385676</v>
      </c>
      <c r="DQ155" s="263"/>
      <c r="DR155" s="266">
        <v>21.684131594434003</v>
      </c>
      <c r="DS155" s="263"/>
      <c r="DT155" s="266">
        <v>38.964653039968752</v>
      </c>
      <c r="DU155" s="263" t="s">
        <v>233</v>
      </c>
      <c r="DV155" s="266">
        <v>24.886662949211402</v>
      </c>
      <c r="DW155" s="263"/>
      <c r="DX155" s="192">
        <v>43.879042806945549</v>
      </c>
      <c r="DY155" s="189"/>
      <c r="DZ155" s="192">
        <v>41.497618414371722</v>
      </c>
      <c r="EA155" s="189"/>
      <c r="EB155" s="192">
        <v>35.095150833859471</v>
      </c>
      <c r="EC155" s="189"/>
      <c r="ED155" s="192">
        <v>35.895141632482542</v>
      </c>
      <c r="EE155" s="189"/>
      <c r="EF155" s="192">
        <v>31.67627923203397</v>
      </c>
      <c r="EG155" s="189"/>
      <c r="EH155" s="192">
        <v>24.447308553186804</v>
      </c>
      <c r="EI155" s="189"/>
    </row>
    <row r="156" spans="1:139" outlineLevel="1" x14ac:dyDescent="0.2">
      <c r="A156"/>
      <c r="B156" s="11" t="s">
        <v>93</v>
      </c>
      <c r="C156" s="12">
        <v>12.149265997869401</v>
      </c>
      <c r="D156" s="193">
        <v>13.341781022406145</v>
      </c>
      <c r="E156" s="189"/>
      <c r="F156" s="193">
        <v>10.946309737791744</v>
      </c>
      <c r="G156" s="189"/>
      <c r="H156" s="207">
        <v>0</v>
      </c>
      <c r="I156" s="203"/>
      <c r="J156" s="207">
        <v>0</v>
      </c>
      <c r="K156" s="203"/>
      <c r="L156" s="207">
        <v>13.341781022406145</v>
      </c>
      <c r="M156" s="203"/>
      <c r="N156" s="207">
        <v>10.946309737791744</v>
      </c>
      <c r="O156" s="203"/>
      <c r="P156" s="221">
        <v>36.899629537209435</v>
      </c>
      <c r="Q156" s="217"/>
      <c r="R156" s="221">
        <v>44.332751867199008</v>
      </c>
      <c r="S156" s="217"/>
      <c r="T156" s="221">
        <v>9.4517693580890683</v>
      </c>
      <c r="U156" s="217" t="s">
        <v>186</v>
      </c>
      <c r="V156" s="221">
        <v>3.8984018606295909</v>
      </c>
      <c r="W156" s="217"/>
      <c r="X156" s="251">
        <v>20.342318302581642</v>
      </c>
      <c r="Y156" s="247"/>
      <c r="Z156" s="251">
        <v>15.317303200410485</v>
      </c>
      <c r="AA156" s="247" t="s">
        <v>190</v>
      </c>
      <c r="AB156" s="251">
        <v>3.7974285129754657</v>
      </c>
      <c r="AC156" s="247"/>
      <c r="AD156" s="251">
        <v>24.693453148954902</v>
      </c>
      <c r="AE156" s="247"/>
      <c r="AF156" s="251">
        <v>5.3792031045284956</v>
      </c>
      <c r="AG156" s="247"/>
      <c r="AH156" s="251">
        <v>7.3328017920534583</v>
      </c>
      <c r="AI156" s="247"/>
      <c r="AJ156" s="236">
        <v>13.226486090363315</v>
      </c>
      <c r="AK156" s="232"/>
      <c r="AL156" s="236">
        <v>12.026728025120457</v>
      </c>
      <c r="AM156" s="232" t="s">
        <v>196</v>
      </c>
      <c r="AN156" s="236">
        <v>4.0307947372487281</v>
      </c>
      <c r="AO156" s="232"/>
      <c r="AP156" s="236">
        <v>9.6229095259802993</v>
      </c>
      <c r="AQ156" s="232"/>
      <c r="AR156" s="236">
        <v>2.0719756535133307</v>
      </c>
      <c r="AS156" s="232"/>
      <c r="AT156" s="236">
        <v>3.1399600943599961</v>
      </c>
      <c r="AU156" s="232"/>
      <c r="AV156" s="267">
        <v>21.244716668518347</v>
      </c>
      <c r="AW156" s="263" t="s">
        <v>172</v>
      </c>
      <c r="AX156" s="267">
        <v>4.2709190711631182</v>
      </c>
      <c r="AY156" s="263"/>
      <c r="AZ156" s="267">
        <v>9.2401997724790483</v>
      </c>
      <c r="BA156" s="263"/>
      <c r="BB156" s="267">
        <v>13.687819962367028</v>
      </c>
      <c r="BC156" s="263"/>
      <c r="BD156" s="267">
        <v>16.737415617930058</v>
      </c>
      <c r="BE156" s="263"/>
      <c r="BF156" s="267">
        <v>9.7787698670196654</v>
      </c>
      <c r="BG156" s="263"/>
      <c r="BH156" s="267">
        <v>0</v>
      </c>
      <c r="BI156" s="263"/>
      <c r="BJ156" s="267">
        <v>20.228017626672102</v>
      </c>
      <c r="BK156" s="263"/>
      <c r="BL156" s="193">
        <v>15.474813584936305</v>
      </c>
      <c r="BM156" s="189"/>
      <c r="BN156" s="193">
        <v>11.847506069515534</v>
      </c>
      <c r="BO156" s="189"/>
      <c r="BP156" s="193">
        <v>11.740624802061561</v>
      </c>
      <c r="BQ156" s="189"/>
      <c r="BR156" s="193">
        <v>10.32480656781498</v>
      </c>
      <c r="BS156" s="189"/>
      <c r="BT156" s="207">
        <v>12.832265569387294</v>
      </c>
      <c r="BU156" s="203"/>
      <c r="BV156" s="207">
        <v>8.0604148578600352</v>
      </c>
      <c r="BW156" s="203"/>
      <c r="BX156" s="207">
        <v>15.345830762659579</v>
      </c>
      <c r="BY156" s="203"/>
      <c r="BZ156" s="207">
        <v>10.423175974125634</v>
      </c>
      <c r="CA156" s="203"/>
      <c r="CB156" s="207">
        <v>11.896407758640398</v>
      </c>
      <c r="CC156" s="203"/>
      <c r="CD156" s="207">
        <v>11.077017992269242</v>
      </c>
      <c r="CE156" s="203"/>
      <c r="CF156" s="207">
        <v>10.769957644177822</v>
      </c>
      <c r="CG156" s="203"/>
      <c r="CH156" s="207">
        <v>13.680313008317086</v>
      </c>
      <c r="CI156" s="203"/>
      <c r="CJ156" s="221">
        <v>15.557117584997885</v>
      </c>
      <c r="CK156" s="217" t="s">
        <v>112</v>
      </c>
      <c r="CL156" s="221">
        <v>9.0224089141990707</v>
      </c>
      <c r="CM156" s="217"/>
      <c r="CN156" s="221">
        <v>7.975623020570076</v>
      </c>
      <c r="CO156" s="217"/>
      <c r="CP156" s="221">
        <v>16.253400179110972</v>
      </c>
      <c r="CQ156" s="217"/>
      <c r="CR156" s="251">
        <v>11.527071786549081</v>
      </c>
      <c r="CS156" s="247"/>
      <c r="CT156" s="251">
        <v>9.058311482782889</v>
      </c>
      <c r="CU156" s="247"/>
      <c r="CV156" s="251">
        <v>14.367132329451778</v>
      </c>
      <c r="CW156" s="247"/>
      <c r="CX156" s="251">
        <v>12.569563023905619</v>
      </c>
      <c r="CY156" s="247"/>
      <c r="CZ156" s="236">
        <v>8.3629615197655731</v>
      </c>
      <c r="DA156" s="232"/>
      <c r="DB156" s="236">
        <v>12.386300078627368</v>
      </c>
      <c r="DC156" s="232"/>
      <c r="DD156" s="236">
        <v>22.611561987148981</v>
      </c>
      <c r="DE156" s="232" t="s">
        <v>225</v>
      </c>
      <c r="DF156" s="236">
        <v>4.4133787016922481</v>
      </c>
      <c r="DG156" s="232"/>
      <c r="DH156" s="236">
        <v>23.20605688035992</v>
      </c>
      <c r="DI156" s="232"/>
      <c r="DJ156" s="236">
        <v>15.544063813174612</v>
      </c>
      <c r="DK156" s="232"/>
      <c r="DL156" s="267">
        <v>20.342318302581642</v>
      </c>
      <c r="DM156" s="263"/>
      <c r="DN156" s="267">
        <v>24.693453148954902</v>
      </c>
      <c r="DO156" s="263"/>
      <c r="DP156" s="267">
        <v>3.7974285129754657</v>
      </c>
      <c r="DQ156" s="263"/>
      <c r="DR156" s="267">
        <v>7.3328017920534583</v>
      </c>
      <c r="DS156" s="263"/>
      <c r="DT156" s="267">
        <v>15.317303200410485</v>
      </c>
      <c r="DU156" s="263" t="s">
        <v>233</v>
      </c>
      <c r="DV156" s="267">
        <v>5.3792031045284956</v>
      </c>
      <c r="DW156" s="263"/>
      <c r="DX156" s="193">
        <v>16.349226704968068</v>
      </c>
      <c r="DY156" s="189"/>
      <c r="DZ156" s="193">
        <v>18.658768345462899</v>
      </c>
      <c r="EA156" s="189"/>
      <c r="EB156" s="193">
        <v>13.875421549454103</v>
      </c>
      <c r="EC156" s="189"/>
      <c r="ED156" s="193">
        <v>8.5368974739383727</v>
      </c>
      <c r="EE156" s="189"/>
      <c r="EF156" s="193">
        <v>9.8179921986052499</v>
      </c>
      <c r="EG156" s="189"/>
      <c r="EH156" s="193">
        <v>6.9905148057094628</v>
      </c>
      <c r="EI156" s="189"/>
    </row>
    <row r="157" spans="1:139" outlineLevel="1" x14ac:dyDescent="0.2">
      <c r="A157"/>
      <c r="B157" s="11" t="s">
        <v>94</v>
      </c>
      <c r="C157" s="12">
        <v>23.096934619998947</v>
      </c>
      <c r="D157" s="193">
        <v>23.080145681830796</v>
      </c>
      <c r="E157" s="189"/>
      <c r="F157" s="193">
        <v>23.113870556112019</v>
      </c>
      <c r="G157" s="189"/>
      <c r="H157" s="207">
        <v>0</v>
      </c>
      <c r="I157" s="203"/>
      <c r="J157" s="207">
        <v>0</v>
      </c>
      <c r="K157" s="203"/>
      <c r="L157" s="207">
        <v>23.080145681830796</v>
      </c>
      <c r="M157" s="203"/>
      <c r="N157" s="207">
        <v>23.113870556112019</v>
      </c>
      <c r="O157" s="203"/>
      <c r="P157" s="221">
        <v>32.234869570224774</v>
      </c>
      <c r="Q157" s="217"/>
      <c r="R157" s="221">
        <v>32.258460647127727</v>
      </c>
      <c r="S157" s="217"/>
      <c r="T157" s="221">
        <v>21.568463378284402</v>
      </c>
      <c r="U157" s="217"/>
      <c r="V157" s="221">
        <v>21.183439386295337</v>
      </c>
      <c r="W157" s="217"/>
      <c r="X157" s="251">
        <v>23.195179340438976</v>
      </c>
      <c r="Y157" s="247"/>
      <c r="Z157" s="251">
        <v>23.64734983955827</v>
      </c>
      <c r="AA157" s="247"/>
      <c r="AB157" s="251">
        <v>23.681208000881295</v>
      </c>
      <c r="AC157" s="247"/>
      <c r="AD157" s="251">
        <v>34.167893663635859</v>
      </c>
      <c r="AE157" s="247"/>
      <c r="AF157" s="251">
        <v>19.507459844682906</v>
      </c>
      <c r="AG157" s="247"/>
      <c r="AH157" s="251">
        <v>14.351329802380546</v>
      </c>
      <c r="AI157" s="247"/>
      <c r="AJ157" s="236">
        <v>20.476432067795976</v>
      </c>
      <c r="AK157" s="232"/>
      <c r="AL157" s="236">
        <v>23.242274620300403</v>
      </c>
      <c r="AM157" s="232"/>
      <c r="AN157" s="236">
        <v>22.288494987607351</v>
      </c>
      <c r="AO157" s="232"/>
      <c r="AP157" s="236">
        <v>35.150146949685485</v>
      </c>
      <c r="AQ157" s="232" t="s">
        <v>192</v>
      </c>
      <c r="AR157" s="236">
        <v>16.280489454019992</v>
      </c>
      <c r="AS157" s="232"/>
      <c r="AT157" s="236">
        <v>12.535661403434448</v>
      </c>
      <c r="AU157" s="232"/>
      <c r="AV157" s="267">
        <v>22.445572628599304</v>
      </c>
      <c r="AW157" s="263"/>
      <c r="AX157" s="267">
        <v>27.99576371181729</v>
      </c>
      <c r="AY157" s="263"/>
      <c r="AZ157" s="267">
        <v>23.81067655481252</v>
      </c>
      <c r="BA157" s="263"/>
      <c r="BB157" s="267">
        <v>24.211326491828199</v>
      </c>
      <c r="BC157" s="263"/>
      <c r="BD157" s="267">
        <v>23.759576713383534</v>
      </c>
      <c r="BE157" s="263"/>
      <c r="BF157" s="267">
        <v>19.289848677550808</v>
      </c>
      <c r="BG157" s="263"/>
      <c r="BH157" s="267">
        <v>15.868477483917083</v>
      </c>
      <c r="BI157" s="263"/>
      <c r="BJ157" s="267">
        <v>8.215534680947826</v>
      </c>
      <c r="BK157" s="263"/>
      <c r="BL157" s="193">
        <v>23.577532361325147</v>
      </c>
      <c r="BM157" s="189"/>
      <c r="BN157" s="193">
        <v>24.196037115650576</v>
      </c>
      <c r="BO157" s="189"/>
      <c r="BP157" s="193">
        <v>22.706783460466369</v>
      </c>
      <c r="BQ157" s="189"/>
      <c r="BR157" s="193">
        <v>22.367562650142649</v>
      </c>
      <c r="BS157" s="189"/>
      <c r="BT157" s="207">
        <v>21.140163550184905</v>
      </c>
      <c r="BU157" s="203"/>
      <c r="BV157" s="207">
        <v>22.546398576451274</v>
      </c>
      <c r="BW157" s="203"/>
      <c r="BX157" s="207">
        <v>21.402559600082263</v>
      </c>
      <c r="BY157" s="203"/>
      <c r="BZ157" s="207">
        <v>22.352967680980456</v>
      </c>
      <c r="CA157" s="203"/>
      <c r="CB157" s="207">
        <v>25.102360970341721</v>
      </c>
      <c r="CC157" s="203"/>
      <c r="CD157" s="207">
        <v>16.189265074348739</v>
      </c>
      <c r="CE157" s="203"/>
      <c r="CF157" s="207">
        <v>26.259278853032285</v>
      </c>
      <c r="CG157" s="203"/>
      <c r="CH157" s="207">
        <v>31.265326921239531</v>
      </c>
      <c r="CI157" s="203"/>
      <c r="CJ157" s="221">
        <v>21.721173896208619</v>
      </c>
      <c r="CK157" s="217"/>
      <c r="CL157" s="221">
        <v>25.066865308497224</v>
      </c>
      <c r="CM157" s="217"/>
      <c r="CN157" s="221">
        <v>26.168303528583767</v>
      </c>
      <c r="CO157" s="217"/>
      <c r="CP157" s="221">
        <v>20.641451635852327</v>
      </c>
      <c r="CQ157" s="217"/>
      <c r="CR157" s="251">
        <v>22.25409815149381</v>
      </c>
      <c r="CS157" s="247"/>
      <c r="CT157" s="251">
        <v>20.744975237482972</v>
      </c>
      <c r="CU157" s="247"/>
      <c r="CV157" s="251">
        <v>23.78422307251742</v>
      </c>
      <c r="CW157" s="247"/>
      <c r="CX157" s="251">
        <v>24.874650729587081</v>
      </c>
      <c r="CY157" s="247"/>
      <c r="CZ157" s="236">
        <v>23.296275960333066</v>
      </c>
      <c r="DA157" s="232"/>
      <c r="DB157" s="236">
        <v>22.009101011656693</v>
      </c>
      <c r="DC157" s="232"/>
      <c r="DD157" s="236">
        <v>23.704755045857393</v>
      </c>
      <c r="DE157" s="232"/>
      <c r="DF157" s="236">
        <v>21.138698325234152</v>
      </c>
      <c r="DG157" s="232"/>
      <c r="DH157" s="236">
        <v>13.263630629170164</v>
      </c>
      <c r="DI157" s="232"/>
      <c r="DJ157" s="236">
        <v>29.378033421090834</v>
      </c>
      <c r="DK157" s="232" t="s">
        <v>226</v>
      </c>
      <c r="DL157" s="267">
        <v>23.195179340438976</v>
      </c>
      <c r="DM157" s="263"/>
      <c r="DN157" s="267">
        <v>34.167893663635859</v>
      </c>
      <c r="DO157" s="263"/>
      <c r="DP157" s="267">
        <v>23.681208000881295</v>
      </c>
      <c r="DQ157" s="263"/>
      <c r="DR157" s="267">
        <v>14.351329802380546</v>
      </c>
      <c r="DS157" s="263"/>
      <c r="DT157" s="267">
        <v>23.64734983955827</v>
      </c>
      <c r="DU157" s="263"/>
      <c r="DV157" s="267">
        <v>19.507459844682906</v>
      </c>
      <c r="DW157" s="263"/>
      <c r="DX157" s="193">
        <v>27.529816101977481</v>
      </c>
      <c r="DY157" s="189"/>
      <c r="DZ157" s="193">
        <v>22.838850068908823</v>
      </c>
      <c r="EA157" s="189"/>
      <c r="EB157" s="193">
        <v>21.219729284405364</v>
      </c>
      <c r="EC157" s="189"/>
      <c r="ED157" s="193">
        <v>27.358244158544167</v>
      </c>
      <c r="EE157" s="189"/>
      <c r="EF157" s="193">
        <v>21.858287033428716</v>
      </c>
      <c r="EG157" s="189"/>
      <c r="EH157" s="193">
        <v>17.456793747477342</v>
      </c>
      <c r="EI157" s="189"/>
    </row>
    <row r="158" spans="1:139" outlineLevel="1" x14ac:dyDescent="0.2">
      <c r="A158"/>
      <c r="B158" s="7"/>
      <c r="E158" s="187"/>
      <c r="G158" s="187"/>
      <c r="I158" s="201"/>
      <c r="K158" s="201"/>
      <c r="M158" s="201"/>
      <c r="O158" s="201"/>
      <c r="Q158" s="215"/>
      <c r="S158" s="215"/>
      <c r="U158" s="215"/>
      <c r="W158" s="215"/>
      <c r="Y158" s="245"/>
      <c r="AA158" s="245"/>
      <c r="AC158" s="245"/>
      <c r="AE158" s="245"/>
      <c r="AG158" s="245"/>
      <c r="AI158" s="245"/>
      <c r="AK158" s="230"/>
      <c r="AM158" s="230"/>
      <c r="AO158" s="230"/>
      <c r="AQ158" s="230"/>
      <c r="AS158" s="230"/>
      <c r="AU158" s="230"/>
      <c r="AW158" s="261"/>
      <c r="AY158" s="261"/>
      <c r="BA158" s="261"/>
      <c r="BC158" s="261"/>
      <c r="BE158" s="261"/>
      <c r="BG158" s="261"/>
      <c r="BI158" s="261"/>
      <c r="BK158" s="261"/>
      <c r="BM158" s="187"/>
      <c r="BO158" s="187"/>
      <c r="BQ158" s="187"/>
      <c r="BS158" s="187"/>
      <c r="BU158" s="201"/>
      <c r="BW158" s="201"/>
      <c r="BY158" s="201"/>
      <c r="CA158" s="201"/>
      <c r="CC158" s="201"/>
      <c r="CE158" s="201"/>
      <c r="CG158" s="201"/>
      <c r="CI158" s="201"/>
      <c r="CK158" s="215"/>
      <c r="CM158" s="215"/>
      <c r="CO158" s="215"/>
      <c r="CQ158" s="215"/>
      <c r="CS158" s="245"/>
      <c r="CU158" s="245"/>
      <c r="CW158" s="245"/>
      <c r="CY158" s="245"/>
      <c r="DA158" s="230"/>
      <c r="DC158" s="230"/>
      <c r="DE158" s="230"/>
      <c r="DG158" s="230"/>
      <c r="DI158" s="230"/>
      <c r="DK158" s="230"/>
      <c r="DM158" s="261"/>
      <c r="DO158" s="261"/>
      <c r="DQ158" s="261"/>
      <c r="DS158" s="261"/>
      <c r="DU158" s="261"/>
      <c r="DW158" s="261"/>
      <c r="DY158" s="187"/>
      <c r="EA158" s="187"/>
      <c r="EC158" s="187"/>
      <c r="EE158" s="187"/>
      <c r="EG158" s="187"/>
      <c r="EI158" s="187"/>
    </row>
    <row r="159" spans="1:139" outlineLevel="1" x14ac:dyDescent="0.2">
      <c r="A159"/>
      <c r="B159" s="13" t="s">
        <v>95</v>
      </c>
      <c r="C159" s="12">
        <v>44.775373134940054</v>
      </c>
      <c r="D159" s="193">
        <v>44.340220611998625</v>
      </c>
      <c r="E159" s="189"/>
      <c r="F159" s="193">
        <v>45.214335697918521</v>
      </c>
      <c r="G159" s="189"/>
      <c r="H159" s="207">
        <v>0</v>
      </c>
      <c r="I159" s="203"/>
      <c r="J159" s="207">
        <v>0</v>
      </c>
      <c r="K159" s="203"/>
      <c r="L159" s="207">
        <v>44.340220611998625</v>
      </c>
      <c r="M159" s="203"/>
      <c r="N159" s="207">
        <v>45.214335697918521</v>
      </c>
      <c r="O159" s="203"/>
      <c r="P159" s="221">
        <v>19.028159011075495</v>
      </c>
      <c r="Q159" s="217"/>
      <c r="R159" s="221">
        <v>20.470704182777688</v>
      </c>
      <c r="S159" s="217"/>
      <c r="T159" s="221">
        <v>48.519898345032274</v>
      </c>
      <c r="U159" s="217"/>
      <c r="V159" s="221">
        <v>50.437738502841924</v>
      </c>
      <c r="W159" s="217"/>
      <c r="X159" s="251">
        <v>43.192909491097993</v>
      </c>
      <c r="Y159" s="247" t="s">
        <v>189</v>
      </c>
      <c r="Z159" s="251">
        <v>46.943278678480894</v>
      </c>
      <c r="AA159" s="247"/>
      <c r="AB159" s="251">
        <v>41.16248052499882</v>
      </c>
      <c r="AC159" s="247"/>
      <c r="AD159" s="251">
        <v>26.118489958863975</v>
      </c>
      <c r="AE159" s="247"/>
      <c r="AF159" s="251">
        <v>55.97456263232101</v>
      </c>
      <c r="AG159" s="247"/>
      <c r="AH159" s="251">
        <v>47.436452341629177</v>
      </c>
      <c r="AI159" s="247"/>
      <c r="AJ159" s="236">
        <v>52.053444760750494</v>
      </c>
      <c r="AK159" s="232" t="s">
        <v>195</v>
      </c>
      <c r="AL159" s="236">
        <v>49.761625056861092</v>
      </c>
      <c r="AM159" s="232"/>
      <c r="AN159" s="236">
        <v>42.778855449737215</v>
      </c>
      <c r="AO159" s="232"/>
      <c r="AP159" s="236">
        <v>33.635374966743782</v>
      </c>
      <c r="AQ159" s="232"/>
      <c r="AR159" s="236">
        <v>59.899260358268393</v>
      </c>
      <c r="AS159" s="232"/>
      <c r="AT159" s="236">
        <v>51.639882081003698</v>
      </c>
      <c r="AU159" s="232"/>
      <c r="AV159" s="267">
        <v>41.424989976765417</v>
      </c>
      <c r="AW159" s="263"/>
      <c r="AX159" s="267">
        <v>45.205012941016214</v>
      </c>
      <c r="AY159" s="263"/>
      <c r="AZ159" s="267">
        <v>44.9293487574094</v>
      </c>
      <c r="BA159" s="263"/>
      <c r="BB159" s="267">
        <v>44.161727925822689</v>
      </c>
      <c r="BC159" s="263"/>
      <c r="BD159" s="267">
        <v>42.437665632104235</v>
      </c>
      <c r="BE159" s="263"/>
      <c r="BF159" s="267">
        <v>48.839342106401567</v>
      </c>
      <c r="BG159" s="263"/>
      <c r="BH159" s="267">
        <v>62.953129786582245</v>
      </c>
      <c r="BI159" s="263"/>
      <c r="BJ159" s="267">
        <v>44.302852572647296</v>
      </c>
      <c r="BK159" s="263"/>
      <c r="BL159" s="193">
        <v>41.779941085670671</v>
      </c>
      <c r="BM159" s="189"/>
      <c r="BN159" s="193">
        <v>41.30914626070107</v>
      </c>
      <c r="BO159" s="189"/>
      <c r="BP159" s="193">
        <v>46.26208882977128</v>
      </c>
      <c r="BQ159" s="189"/>
      <c r="BR159" s="193">
        <v>47.907519779069766</v>
      </c>
      <c r="BS159" s="189"/>
      <c r="BT159" s="207">
        <v>41.712241957046373</v>
      </c>
      <c r="BU159" s="203"/>
      <c r="BV159" s="207">
        <v>51.391484496557183</v>
      </c>
      <c r="BW159" s="203"/>
      <c r="BX159" s="207">
        <v>45.429832471168908</v>
      </c>
      <c r="BY159" s="203"/>
      <c r="BZ159" s="207">
        <v>45.472830930961798</v>
      </c>
      <c r="CA159" s="203"/>
      <c r="CB159" s="207">
        <v>42.639100420983645</v>
      </c>
      <c r="CC159" s="203"/>
      <c r="CD159" s="207">
        <v>50.361734006522042</v>
      </c>
      <c r="CE159" s="203"/>
      <c r="CF159" s="207">
        <v>46.593234381082624</v>
      </c>
      <c r="CG159" s="203"/>
      <c r="CH159" s="207">
        <v>35.720882830663399</v>
      </c>
      <c r="CI159" s="203"/>
      <c r="CJ159" s="221">
        <v>40.116098356346377</v>
      </c>
      <c r="CK159" s="217"/>
      <c r="CL159" s="221">
        <v>43.732159700979395</v>
      </c>
      <c r="CM159" s="217"/>
      <c r="CN159" s="221">
        <v>52.906682875331903</v>
      </c>
      <c r="CO159" s="217"/>
      <c r="CP159" s="221">
        <v>47.314925635467326</v>
      </c>
      <c r="CQ159" s="217"/>
      <c r="CR159" s="251">
        <v>39.5228562533811</v>
      </c>
      <c r="CS159" s="247"/>
      <c r="CT159" s="251">
        <v>46.784501943543276</v>
      </c>
      <c r="CU159" s="247"/>
      <c r="CV159" s="251">
        <v>48.103665553094174</v>
      </c>
      <c r="CW159" s="247"/>
      <c r="CX159" s="251">
        <v>44.119838559453584</v>
      </c>
      <c r="CY159" s="247"/>
      <c r="CZ159" s="236">
        <v>46.994967833098158</v>
      </c>
      <c r="DA159" s="232"/>
      <c r="DB159" s="236">
        <v>47.907381052464181</v>
      </c>
      <c r="DC159" s="232"/>
      <c r="DD159" s="236">
        <v>39.398048902384751</v>
      </c>
      <c r="DE159" s="232"/>
      <c r="DF159" s="236">
        <v>44.892012729903946</v>
      </c>
      <c r="DG159" s="232"/>
      <c r="DH159" s="236">
        <v>46.52013476141483</v>
      </c>
      <c r="DI159" s="232"/>
      <c r="DJ159" s="236">
        <v>28.467173332182416</v>
      </c>
      <c r="DK159" s="232"/>
      <c r="DL159" s="267">
        <v>43.192909491097993</v>
      </c>
      <c r="DM159" s="263" t="s">
        <v>229</v>
      </c>
      <c r="DN159" s="267">
        <v>26.118489958863975</v>
      </c>
      <c r="DO159" s="263"/>
      <c r="DP159" s="267">
        <v>41.16248052499882</v>
      </c>
      <c r="DQ159" s="263"/>
      <c r="DR159" s="267">
        <v>47.436452341629177</v>
      </c>
      <c r="DS159" s="263"/>
      <c r="DT159" s="267">
        <v>46.943278678480894</v>
      </c>
      <c r="DU159" s="263"/>
      <c r="DV159" s="267">
        <v>55.97456263232101</v>
      </c>
      <c r="DW159" s="263"/>
      <c r="DX159" s="193">
        <v>39.537715765985276</v>
      </c>
      <c r="DY159" s="189"/>
      <c r="DZ159" s="193">
        <v>41.572571870693196</v>
      </c>
      <c r="EA159" s="189"/>
      <c r="EB159" s="193">
        <v>47.063059178613777</v>
      </c>
      <c r="EC159" s="189"/>
      <c r="ED159" s="193">
        <v>44.014000414485956</v>
      </c>
      <c r="EE159" s="189"/>
      <c r="EF159" s="193">
        <v>44.582076091434431</v>
      </c>
      <c r="EG159" s="189"/>
      <c r="EH159" s="193">
        <v>50.342164165412981</v>
      </c>
      <c r="EI159" s="189"/>
    </row>
    <row r="160" spans="1:139" outlineLevel="1" x14ac:dyDescent="0.2">
      <c r="A160"/>
      <c r="B160" s="7"/>
      <c r="E160" s="187"/>
      <c r="G160" s="187"/>
      <c r="I160" s="201"/>
      <c r="K160" s="201"/>
      <c r="M160" s="201"/>
      <c r="O160" s="201"/>
      <c r="Q160" s="215"/>
      <c r="S160" s="215"/>
      <c r="U160" s="215"/>
      <c r="W160" s="215"/>
      <c r="Y160" s="245"/>
      <c r="AA160" s="245"/>
      <c r="AC160" s="245"/>
      <c r="AE160" s="245"/>
      <c r="AG160" s="245"/>
      <c r="AI160" s="245"/>
      <c r="AK160" s="230"/>
      <c r="AM160" s="230"/>
      <c r="AO160" s="230"/>
      <c r="AQ160" s="230"/>
      <c r="AS160" s="230"/>
      <c r="AU160" s="230"/>
      <c r="AW160" s="261"/>
      <c r="AY160" s="261"/>
      <c r="BA160" s="261"/>
      <c r="BC160" s="261"/>
      <c r="BE160" s="261"/>
      <c r="BG160" s="261"/>
      <c r="BI160" s="261"/>
      <c r="BK160" s="261"/>
      <c r="BM160" s="187"/>
      <c r="BO160" s="187"/>
      <c r="BQ160" s="187"/>
      <c r="BS160" s="187"/>
      <c r="BU160" s="201"/>
      <c r="BW160" s="201"/>
      <c r="BY160" s="201"/>
      <c r="CA160" s="201"/>
      <c r="CC160" s="201"/>
      <c r="CE160" s="201"/>
      <c r="CG160" s="201"/>
      <c r="CI160" s="201"/>
      <c r="CK160" s="215"/>
      <c r="CM160" s="215"/>
      <c r="CO160" s="215"/>
      <c r="CQ160" s="215"/>
      <c r="CS160" s="245"/>
      <c r="CU160" s="245"/>
      <c r="CW160" s="245"/>
      <c r="CY160" s="245"/>
      <c r="DA160" s="230"/>
      <c r="DC160" s="230"/>
      <c r="DE160" s="230"/>
      <c r="DG160" s="230"/>
      <c r="DI160" s="230"/>
      <c r="DK160" s="230"/>
      <c r="DM160" s="261"/>
      <c r="DO160" s="261"/>
      <c r="DQ160" s="261"/>
      <c r="DS160" s="261"/>
      <c r="DU160" s="261"/>
      <c r="DW160" s="261"/>
      <c r="DY160" s="187"/>
      <c r="EA160" s="187"/>
      <c r="EC160" s="187"/>
      <c r="EE160" s="187"/>
      <c r="EG160" s="187"/>
      <c r="EI160" s="187"/>
    </row>
    <row r="161" spans="1:139" outlineLevel="1" x14ac:dyDescent="0.2">
      <c r="A161"/>
      <c r="B161" s="7" t="s">
        <v>96</v>
      </c>
      <c r="C161" s="10">
        <v>19.978426247191603</v>
      </c>
      <c r="D161" s="192">
        <v>19.237852683764441</v>
      </c>
      <c r="E161" s="189"/>
      <c r="F161" s="192">
        <v>20.725484008177716</v>
      </c>
      <c r="G161" s="189"/>
      <c r="H161" s="206">
        <v>0</v>
      </c>
      <c r="I161" s="203"/>
      <c r="J161" s="206">
        <v>0</v>
      </c>
      <c r="K161" s="203"/>
      <c r="L161" s="206">
        <v>19.237852683764441</v>
      </c>
      <c r="M161" s="203"/>
      <c r="N161" s="206">
        <v>20.725484008177716</v>
      </c>
      <c r="O161" s="203"/>
      <c r="P161" s="220">
        <v>11.837341881490298</v>
      </c>
      <c r="Q161" s="217"/>
      <c r="R161" s="220">
        <v>2.9380833028955755</v>
      </c>
      <c r="S161" s="217"/>
      <c r="T161" s="220">
        <v>20.45986891859425</v>
      </c>
      <c r="U161" s="217"/>
      <c r="V161" s="220">
        <v>24.480420250233141</v>
      </c>
      <c r="W161" s="217"/>
      <c r="X161" s="250">
        <v>13.269592865881394</v>
      </c>
      <c r="Y161" s="247"/>
      <c r="Z161" s="250">
        <v>14.09206828155035</v>
      </c>
      <c r="AA161" s="247"/>
      <c r="AB161" s="250">
        <v>31.358882961144424</v>
      </c>
      <c r="AC161" s="247"/>
      <c r="AD161" s="250">
        <v>15.020163228545261</v>
      </c>
      <c r="AE161" s="247"/>
      <c r="AF161" s="250">
        <v>19.138774418467595</v>
      </c>
      <c r="AG161" s="247"/>
      <c r="AH161" s="250">
        <v>30.879416063936823</v>
      </c>
      <c r="AI161" s="247"/>
      <c r="AJ161" s="235">
        <v>14.243637081090224</v>
      </c>
      <c r="AK161" s="232"/>
      <c r="AL161" s="235">
        <v>14.969372297718049</v>
      </c>
      <c r="AM161" s="232"/>
      <c r="AN161" s="235">
        <v>30.901854825406701</v>
      </c>
      <c r="AO161" s="232"/>
      <c r="AP161" s="235">
        <v>21.591568557590431</v>
      </c>
      <c r="AQ161" s="232"/>
      <c r="AR161" s="235">
        <v>21.748274534198288</v>
      </c>
      <c r="AS161" s="232"/>
      <c r="AT161" s="235">
        <v>32.684496421201864</v>
      </c>
      <c r="AU161" s="232"/>
      <c r="AV161" s="266">
        <v>14.884720726116925</v>
      </c>
      <c r="AW161" s="263"/>
      <c r="AX161" s="266">
        <v>22.528304276003386</v>
      </c>
      <c r="AY161" s="263"/>
      <c r="AZ161" s="266">
        <v>22.019774915299028</v>
      </c>
      <c r="BA161" s="263"/>
      <c r="BB161" s="266">
        <v>17.939125619982075</v>
      </c>
      <c r="BC161" s="263"/>
      <c r="BD161" s="266">
        <v>17.065342036582177</v>
      </c>
      <c r="BE161" s="263"/>
      <c r="BF161" s="266">
        <v>22.092039349027953</v>
      </c>
      <c r="BG161" s="263"/>
      <c r="BH161" s="266">
        <v>21.178392729500661</v>
      </c>
      <c r="BI161" s="263"/>
      <c r="BJ161" s="266">
        <v>27.253595119732779</v>
      </c>
      <c r="BK161" s="263"/>
      <c r="BL161" s="192">
        <v>19.167712968067875</v>
      </c>
      <c r="BM161" s="189"/>
      <c r="BN161" s="192">
        <v>22.647310554132815</v>
      </c>
      <c r="BO161" s="189"/>
      <c r="BP161" s="192">
        <v>19.290502907700802</v>
      </c>
      <c r="BQ161" s="189"/>
      <c r="BR161" s="192">
        <v>19.400111002972597</v>
      </c>
      <c r="BS161" s="189"/>
      <c r="BT161" s="206">
        <v>24.315328923381426</v>
      </c>
      <c r="BU161" s="203"/>
      <c r="BV161" s="206">
        <v>18.001702069131515</v>
      </c>
      <c r="BW161" s="203"/>
      <c r="BX161" s="206">
        <v>17.821777166089255</v>
      </c>
      <c r="BY161" s="203"/>
      <c r="BZ161" s="206">
        <v>21.751025413932112</v>
      </c>
      <c r="CA161" s="203"/>
      <c r="CB161" s="206">
        <v>20.362130850034241</v>
      </c>
      <c r="CC161" s="203"/>
      <c r="CD161" s="206">
        <v>22.371982926859978</v>
      </c>
      <c r="CE161" s="203"/>
      <c r="CF161" s="206">
        <v>16.377529121707276</v>
      </c>
      <c r="CG161" s="203"/>
      <c r="CH161" s="206">
        <v>19.333477239779988</v>
      </c>
      <c r="CI161" s="203"/>
      <c r="CJ161" s="220">
        <v>22.605610162447114</v>
      </c>
      <c r="CK161" s="217"/>
      <c r="CL161" s="220">
        <v>22.178566076324302</v>
      </c>
      <c r="CM161" s="217"/>
      <c r="CN161" s="220">
        <v>12.949390575514251</v>
      </c>
      <c r="CO161" s="217"/>
      <c r="CP161" s="220">
        <v>15.79022254956938</v>
      </c>
      <c r="CQ161" s="217"/>
      <c r="CR161" s="250">
        <v>26.695973808576007</v>
      </c>
      <c r="CS161" s="247"/>
      <c r="CT161" s="250">
        <v>23.412211336190861</v>
      </c>
      <c r="CU161" s="247"/>
      <c r="CV161" s="250">
        <v>13.744979044936624</v>
      </c>
      <c r="CW161" s="247"/>
      <c r="CX161" s="250">
        <v>18.435947687053709</v>
      </c>
      <c r="CY161" s="247"/>
      <c r="CZ161" s="235">
        <v>21.345794686803206</v>
      </c>
      <c r="DA161" s="232"/>
      <c r="DB161" s="235">
        <v>17.697217857251765</v>
      </c>
      <c r="DC161" s="232"/>
      <c r="DD161" s="235">
        <v>14.285634064608875</v>
      </c>
      <c r="DE161" s="232"/>
      <c r="DF161" s="235">
        <v>29.555910243169656</v>
      </c>
      <c r="DG161" s="232" t="s">
        <v>224</v>
      </c>
      <c r="DH161" s="235">
        <v>17.01017772905508</v>
      </c>
      <c r="DI161" s="232"/>
      <c r="DJ161" s="235">
        <v>26.610729433552137</v>
      </c>
      <c r="DK161" s="232"/>
      <c r="DL161" s="266">
        <v>13.269592865881394</v>
      </c>
      <c r="DM161" s="263"/>
      <c r="DN161" s="266">
        <v>15.020163228545261</v>
      </c>
      <c r="DO161" s="263"/>
      <c r="DP161" s="266">
        <v>31.358882961144424</v>
      </c>
      <c r="DQ161" s="263"/>
      <c r="DR161" s="266">
        <v>30.879416063936823</v>
      </c>
      <c r="DS161" s="263"/>
      <c r="DT161" s="266">
        <v>14.09206828155035</v>
      </c>
      <c r="DU161" s="263"/>
      <c r="DV161" s="266">
        <v>19.138774418467595</v>
      </c>
      <c r="DW161" s="263"/>
      <c r="DX161" s="192">
        <v>16.583241427069172</v>
      </c>
      <c r="DY161" s="189"/>
      <c r="DZ161" s="192">
        <v>16.929809714935082</v>
      </c>
      <c r="EA161" s="189"/>
      <c r="EB161" s="192">
        <v>17.841789987526756</v>
      </c>
      <c r="EC161" s="189"/>
      <c r="ED161" s="192">
        <v>20.090857953031506</v>
      </c>
      <c r="EE161" s="189"/>
      <c r="EF161" s="192">
        <v>23.74164467653161</v>
      </c>
      <c r="EG161" s="189"/>
      <c r="EH161" s="192">
        <v>25.210527281400211</v>
      </c>
      <c r="EI161" s="189"/>
    </row>
    <row r="162" spans="1:139" outlineLevel="1" x14ac:dyDescent="0.2">
      <c r="A162"/>
      <c r="B162" s="11" t="s">
        <v>97</v>
      </c>
      <c r="C162" s="12">
        <v>6.6559918120285699</v>
      </c>
      <c r="D162" s="193">
        <v>5.6579023252726639</v>
      </c>
      <c r="E162" s="189"/>
      <c r="F162" s="193">
        <v>7.6628202137731369</v>
      </c>
      <c r="G162" s="189"/>
      <c r="H162" s="207">
        <v>0</v>
      </c>
      <c r="I162" s="203"/>
      <c r="J162" s="207">
        <v>0</v>
      </c>
      <c r="K162" s="203"/>
      <c r="L162" s="207">
        <v>5.6579023252726639</v>
      </c>
      <c r="M162" s="203"/>
      <c r="N162" s="207">
        <v>7.6628202137731369</v>
      </c>
      <c r="O162" s="203"/>
      <c r="P162" s="221">
        <v>9.8831026738583798</v>
      </c>
      <c r="Q162" s="217"/>
      <c r="R162" s="221">
        <v>2.9380833028955755</v>
      </c>
      <c r="S162" s="217"/>
      <c r="T162" s="221">
        <v>4.9602121847767311</v>
      </c>
      <c r="U162" s="217"/>
      <c r="V162" s="221">
        <v>8.6602164131831376</v>
      </c>
      <c r="W162" s="217"/>
      <c r="X162" s="251">
        <v>5.8361043666003285</v>
      </c>
      <c r="Y162" s="247"/>
      <c r="Z162" s="251">
        <v>5.5474930500777324</v>
      </c>
      <c r="AA162" s="247"/>
      <c r="AB162" s="251">
        <v>8.3334316919251545</v>
      </c>
      <c r="AC162" s="247"/>
      <c r="AD162" s="251">
        <v>4.8627534317966772</v>
      </c>
      <c r="AE162" s="247"/>
      <c r="AF162" s="251">
        <v>5.4239712395899922</v>
      </c>
      <c r="AG162" s="247"/>
      <c r="AH162" s="251">
        <v>10.864988514911632</v>
      </c>
      <c r="AI162" s="247"/>
      <c r="AJ162" s="236">
        <v>4.4747127408701868</v>
      </c>
      <c r="AK162" s="232"/>
      <c r="AL162" s="236">
        <v>5.1144067235203972</v>
      </c>
      <c r="AM162" s="232"/>
      <c r="AN162" s="236">
        <v>7.5243311415643337</v>
      </c>
      <c r="AO162" s="232"/>
      <c r="AP162" s="236">
        <v>5.9749166455330878</v>
      </c>
      <c r="AQ162" s="232"/>
      <c r="AR162" s="236">
        <v>6.1635093765656057</v>
      </c>
      <c r="AS162" s="232"/>
      <c r="AT162" s="236">
        <v>10.896554289546314</v>
      </c>
      <c r="AU162" s="232"/>
      <c r="AV162" s="267">
        <v>4.9721040097768796</v>
      </c>
      <c r="AW162" s="263"/>
      <c r="AX162" s="267">
        <v>11.459370581204158</v>
      </c>
      <c r="AY162" s="263"/>
      <c r="AZ162" s="267">
        <v>5.8674907247017138</v>
      </c>
      <c r="BA162" s="263"/>
      <c r="BB162" s="267">
        <v>5.9648493038838915</v>
      </c>
      <c r="BC162" s="263"/>
      <c r="BD162" s="267">
        <v>6.5085986952442445</v>
      </c>
      <c r="BE162" s="263"/>
      <c r="BF162" s="267">
        <v>6.3043233749491696</v>
      </c>
      <c r="BG162" s="263"/>
      <c r="BH162" s="267">
        <v>4.6283059328091491</v>
      </c>
      <c r="BI162" s="263"/>
      <c r="BJ162" s="267">
        <v>6.7919143130459334</v>
      </c>
      <c r="BK162" s="263"/>
      <c r="BL162" s="193">
        <v>6.7736886549628945</v>
      </c>
      <c r="BM162" s="189"/>
      <c r="BN162" s="193">
        <v>9.9009581463958405</v>
      </c>
      <c r="BO162" s="189"/>
      <c r="BP162" s="193">
        <v>4.8203397611832539</v>
      </c>
      <c r="BQ162" s="189"/>
      <c r="BR162" s="193">
        <v>6.119305475636609</v>
      </c>
      <c r="BS162" s="189"/>
      <c r="BT162" s="207">
        <v>5.6159174957029014</v>
      </c>
      <c r="BU162" s="203"/>
      <c r="BV162" s="207">
        <v>6.0456120142011018</v>
      </c>
      <c r="BW162" s="203"/>
      <c r="BX162" s="207">
        <v>4.84906585670669</v>
      </c>
      <c r="BY162" s="203"/>
      <c r="BZ162" s="207">
        <v>6.104609821726525</v>
      </c>
      <c r="CA162" s="203"/>
      <c r="CB162" s="207">
        <v>8.3631716060847214</v>
      </c>
      <c r="CC162" s="203"/>
      <c r="CD162" s="207">
        <v>10.697279125694068</v>
      </c>
      <c r="CE162" s="203"/>
      <c r="CF162" s="207">
        <v>3.6905795727152646</v>
      </c>
      <c r="CG162" s="203"/>
      <c r="CH162" s="207">
        <v>8.5402578284517201</v>
      </c>
      <c r="CI162" s="203"/>
      <c r="CJ162" s="221">
        <v>6.6758109034588831</v>
      </c>
      <c r="CK162" s="217"/>
      <c r="CL162" s="221">
        <v>8.5002688717085242</v>
      </c>
      <c r="CM162" s="217"/>
      <c r="CN162" s="221">
        <v>4.6097923797946194</v>
      </c>
      <c r="CO162" s="217"/>
      <c r="CP162" s="221">
        <v>5.0901832121125894</v>
      </c>
      <c r="CQ162" s="217"/>
      <c r="CR162" s="251">
        <v>9.1784813873493167</v>
      </c>
      <c r="CS162" s="247"/>
      <c r="CT162" s="251">
        <v>10.25535009053451</v>
      </c>
      <c r="CU162" s="247"/>
      <c r="CV162" s="251">
        <v>3.0520170230431902</v>
      </c>
      <c r="CW162" s="247"/>
      <c r="CX162" s="251">
        <v>5.8692467401428123</v>
      </c>
      <c r="CY162" s="247"/>
      <c r="CZ162" s="236">
        <v>6.2788139279044186</v>
      </c>
      <c r="DA162" s="232"/>
      <c r="DB162" s="236">
        <v>5.871499644304766</v>
      </c>
      <c r="DC162" s="232"/>
      <c r="DD162" s="236">
        <v>3.8348095019492727</v>
      </c>
      <c r="DE162" s="232"/>
      <c r="DF162" s="236">
        <v>11.277879040012433</v>
      </c>
      <c r="DG162" s="232"/>
      <c r="DH162" s="236">
        <v>3.6860360786932187</v>
      </c>
      <c r="DI162" s="232"/>
      <c r="DJ162" s="236">
        <v>11.79645229510062</v>
      </c>
      <c r="DK162" s="232"/>
      <c r="DL162" s="267">
        <v>5.8361043666003285</v>
      </c>
      <c r="DM162" s="263"/>
      <c r="DN162" s="267">
        <v>4.8627534317966772</v>
      </c>
      <c r="DO162" s="263"/>
      <c r="DP162" s="267">
        <v>8.3334316919251545</v>
      </c>
      <c r="DQ162" s="263"/>
      <c r="DR162" s="267">
        <v>10.864988514911632</v>
      </c>
      <c r="DS162" s="263"/>
      <c r="DT162" s="267">
        <v>5.5474930500777324</v>
      </c>
      <c r="DU162" s="263"/>
      <c r="DV162" s="267">
        <v>5.4239712395899922</v>
      </c>
      <c r="DW162" s="263"/>
      <c r="DX162" s="193">
        <v>6.0096950421913871</v>
      </c>
      <c r="DY162" s="189"/>
      <c r="DZ162" s="193">
        <v>9.8261563384027664</v>
      </c>
      <c r="EA162" s="189"/>
      <c r="EB162" s="193">
        <v>4.1764733057176739</v>
      </c>
      <c r="EC162" s="189"/>
      <c r="ED162" s="193">
        <v>8.2148484659085312</v>
      </c>
      <c r="EE162" s="189"/>
      <c r="EF162" s="193">
        <v>7.5712870074488103</v>
      </c>
      <c r="EG162" s="189"/>
      <c r="EH162" s="193">
        <v>4.8412101420027147</v>
      </c>
      <c r="EI162" s="189"/>
    </row>
    <row r="163" spans="1:139" outlineLevel="1" x14ac:dyDescent="0.2">
      <c r="A163"/>
      <c r="B163" s="11" t="s">
        <v>98</v>
      </c>
      <c r="C163" s="12">
        <v>13.322434435163032</v>
      </c>
      <c r="D163" s="193">
        <v>13.579950358491779</v>
      </c>
      <c r="E163" s="189"/>
      <c r="F163" s="193">
        <v>13.062663794404576</v>
      </c>
      <c r="G163" s="189"/>
      <c r="H163" s="207">
        <v>0</v>
      </c>
      <c r="I163" s="203"/>
      <c r="J163" s="207">
        <v>0</v>
      </c>
      <c r="K163" s="203"/>
      <c r="L163" s="207">
        <v>13.579950358491779</v>
      </c>
      <c r="M163" s="203"/>
      <c r="N163" s="207">
        <v>13.062663794404576</v>
      </c>
      <c r="O163" s="203"/>
      <c r="P163" s="221">
        <v>1.9542392076319175</v>
      </c>
      <c r="Q163" s="217"/>
      <c r="R163" s="221">
        <v>0</v>
      </c>
      <c r="S163" s="217"/>
      <c r="T163" s="221">
        <v>15.499656733817519</v>
      </c>
      <c r="U163" s="217"/>
      <c r="V163" s="221">
        <v>15.820203837050006</v>
      </c>
      <c r="W163" s="217"/>
      <c r="X163" s="251">
        <v>7.433488499281065</v>
      </c>
      <c r="Y163" s="247"/>
      <c r="Z163" s="251">
        <v>8.5445752314726171</v>
      </c>
      <c r="AA163" s="247"/>
      <c r="AB163" s="251">
        <v>23.025451269219271</v>
      </c>
      <c r="AC163" s="247"/>
      <c r="AD163" s="251">
        <v>10.157409796748585</v>
      </c>
      <c r="AE163" s="247"/>
      <c r="AF163" s="251">
        <v>13.714803178877601</v>
      </c>
      <c r="AG163" s="247"/>
      <c r="AH163" s="251">
        <v>20.014427549025193</v>
      </c>
      <c r="AI163" s="247"/>
      <c r="AJ163" s="236">
        <v>9.7689243402200372</v>
      </c>
      <c r="AK163" s="232"/>
      <c r="AL163" s="236">
        <v>9.8549655741976512</v>
      </c>
      <c r="AM163" s="232"/>
      <c r="AN163" s="236">
        <v>23.377523683842366</v>
      </c>
      <c r="AO163" s="232"/>
      <c r="AP163" s="236">
        <v>15.616651912057343</v>
      </c>
      <c r="AQ163" s="232"/>
      <c r="AR163" s="236">
        <v>15.584765157632683</v>
      </c>
      <c r="AS163" s="232"/>
      <c r="AT163" s="236">
        <v>21.787942131655548</v>
      </c>
      <c r="AU163" s="232"/>
      <c r="AV163" s="267">
        <v>9.9126167163400449</v>
      </c>
      <c r="AW163" s="263"/>
      <c r="AX163" s="267">
        <v>11.068933694799227</v>
      </c>
      <c r="AY163" s="263"/>
      <c r="AZ163" s="267">
        <v>16.152284190597314</v>
      </c>
      <c r="BA163" s="263"/>
      <c r="BB163" s="267">
        <v>11.974276316098182</v>
      </c>
      <c r="BC163" s="263"/>
      <c r="BD163" s="267">
        <v>10.556743341337933</v>
      </c>
      <c r="BE163" s="263"/>
      <c r="BF163" s="267">
        <v>15.787715974078784</v>
      </c>
      <c r="BG163" s="263"/>
      <c r="BH163" s="267">
        <v>16.550086796691513</v>
      </c>
      <c r="BI163" s="263"/>
      <c r="BJ163" s="267">
        <v>20.461680806686847</v>
      </c>
      <c r="BK163" s="263"/>
      <c r="BL163" s="193">
        <v>12.39402431310498</v>
      </c>
      <c r="BM163" s="189"/>
      <c r="BN163" s="193">
        <v>12.746352407736977</v>
      </c>
      <c r="BO163" s="189"/>
      <c r="BP163" s="193">
        <v>14.470163146517546</v>
      </c>
      <c r="BQ163" s="189"/>
      <c r="BR163" s="193">
        <v>13.280805527335987</v>
      </c>
      <c r="BS163" s="189"/>
      <c r="BT163" s="207">
        <v>18.699411427678527</v>
      </c>
      <c r="BU163" s="203"/>
      <c r="BV163" s="207">
        <v>11.956090054930414</v>
      </c>
      <c r="BW163" s="203"/>
      <c r="BX163" s="207">
        <v>12.972711309382564</v>
      </c>
      <c r="BY163" s="203"/>
      <c r="BZ163" s="207">
        <v>15.646415592205587</v>
      </c>
      <c r="CA163" s="203"/>
      <c r="CB163" s="207">
        <v>11.998959243949518</v>
      </c>
      <c r="CC163" s="203"/>
      <c r="CD163" s="207">
        <v>11.67470380116591</v>
      </c>
      <c r="CE163" s="203"/>
      <c r="CF163" s="207">
        <v>12.686949548992013</v>
      </c>
      <c r="CG163" s="203"/>
      <c r="CH163" s="207">
        <v>10.793219411328268</v>
      </c>
      <c r="CI163" s="203"/>
      <c r="CJ163" s="221">
        <v>15.929799258988231</v>
      </c>
      <c r="CK163" s="217"/>
      <c r="CL163" s="221">
        <v>13.678297204615777</v>
      </c>
      <c r="CM163" s="217"/>
      <c r="CN163" s="221">
        <v>8.339598195719633</v>
      </c>
      <c r="CO163" s="217"/>
      <c r="CP163" s="221">
        <v>10.700039337456792</v>
      </c>
      <c r="CQ163" s="217"/>
      <c r="CR163" s="251">
        <v>17.517492421226688</v>
      </c>
      <c r="CS163" s="247"/>
      <c r="CT163" s="251">
        <v>13.156861245656353</v>
      </c>
      <c r="CU163" s="247"/>
      <c r="CV163" s="251">
        <v>10.692962021893434</v>
      </c>
      <c r="CW163" s="247"/>
      <c r="CX163" s="251">
        <v>12.566700946910897</v>
      </c>
      <c r="CY163" s="247"/>
      <c r="CZ163" s="236">
        <v>15.066980758898788</v>
      </c>
      <c r="DA163" s="232"/>
      <c r="DB163" s="236">
        <v>11.825718212946999</v>
      </c>
      <c r="DC163" s="232"/>
      <c r="DD163" s="236">
        <v>10.450824562659601</v>
      </c>
      <c r="DE163" s="232"/>
      <c r="DF163" s="236">
        <v>18.278031203157223</v>
      </c>
      <c r="DG163" s="232"/>
      <c r="DH163" s="236">
        <v>13.324141650361861</v>
      </c>
      <c r="DI163" s="232"/>
      <c r="DJ163" s="236">
        <v>14.814277138451518</v>
      </c>
      <c r="DK163" s="232"/>
      <c r="DL163" s="267">
        <v>7.433488499281065</v>
      </c>
      <c r="DM163" s="263"/>
      <c r="DN163" s="267">
        <v>10.157409796748585</v>
      </c>
      <c r="DO163" s="263"/>
      <c r="DP163" s="267">
        <v>23.025451269219271</v>
      </c>
      <c r="DQ163" s="263"/>
      <c r="DR163" s="267">
        <v>20.014427549025193</v>
      </c>
      <c r="DS163" s="263"/>
      <c r="DT163" s="267">
        <v>8.5445752314726171</v>
      </c>
      <c r="DU163" s="263"/>
      <c r="DV163" s="267">
        <v>13.714803178877601</v>
      </c>
      <c r="DW163" s="263"/>
      <c r="DX163" s="193">
        <v>10.573546384877787</v>
      </c>
      <c r="DY163" s="189"/>
      <c r="DZ163" s="193">
        <v>7.1036533765323142</v>
      </c>
      <c r="EA163" s="189"/>
      <c r="EB163" s="193">
        <v>13.665316681809083</v>
      </c>
      <c r="EC163" s="189"/>
      <c r="ED163" s="193">
        <v>11.876009487122975</v>
      </c>
      <c r="EE163" s="189"/>
      <c r="EF163" s="193">
        <v>16.170357669082797</v>
      </c>
      <c r="EG163" s="189"/>
      <c r="EH163" s="193">
        <v>20.369317139397495</v>
      </c>
      <c r="EI163" s="189"/>
    </row>
    <row r="164" spans="1:139" outlineLevel="1" x14ac:dyDescent="0.2">
      <c r="A164"/>
      <c r="B164"/>
      <c r="E164" s="187"/>
      <c r="G164" s="187"/>
      <c r="I164" s="201"/>
      <c r="K164" s="201"/>
      <c r="M164" s="201"/>
      <c r="O164" s="201"/>
      <c r="Q164" s="215"/>
      <c r="S164" s="215"/>
      <c r="U164" s="215"/>
      <c r="W164" s="215"/>
      <c r="Y164" s="245"/>
      <c r="AA164" s="245"/>
      <c r="AC164" s="245"/>
      <c r="AE164" s="245"/>
      <c r="AG164" s="245"/>
      <c r="AI164" s="245"/>
      <c r="AK164" s="230"/>
      <c r="AM164" s="230"/>
      <c r="AO164" s="230"/>
      <c r="AQ164" s="230"/>
      <c r="AS164" s="230"/>
      <c r="AU164" s="230"/>
      <c r="AW164" s="261"/>
      <c r="AY164" s="261"/>
      <c r="BA164" s="261"/>
      <c r="BC164" s="261"/>
      <c r="BE164" s="261"/>
      <c r="BG164" s="261"/>
      <c r="BI164" s="261"/>
      <c r="BK164" s="261"/>
      <c r="BM164" s="187"/>
      <c r="BO164" s="187"/>
      <c r="BQ164" s="187"/>
      <c r="BS164" s="187"/>
      <c r="BU164" s="201"/>
      <c r="BW164" s="201"/>
      <c r="BY164" s="201"/>
      <c r="CA164" s="201"/>
      <c r="CC164" s="201"/>
      <c r="CE164" s="201"/>
      <c r="CG164" s="201"/>
      <c r="CI164" s="201"/>
      <c r="CK164" s="215"/>
      <c r="CM164" s="215"/>
      <c r="CO164" s="215"/>
      <c r="CQ164" s="215"/>
      <c r="CS164" s="245"/>
      <c r="CU164" s="245"/>
      <c r="CW164" s="245"/>
      <c r="CY164" s="245"/>
      <c r="DA164" s="230"/>
      <c r="DC164" s="230"/>
      <c r="DE164" s="230"/>
      <c r="DG164" s="230"/>
      <c r="DI164" s="230"/>
      <c r="DK164" s="230"/>
      <c r="DM164" s="261"/>
      <c r="DO164" s="261"/>
      <c r="DQ164" s="261"/>
      <c r="DS164" s="261"/>
      <c r="DU164" s="261"/>
      <c r="DW164" s="261"/>
      <c r="DY164" s="187"/>
      <c r="EA164" s="187"/>
      <c r="EC164" s="187"/>
      <c r="EE164" s="187"/>
      <c r="EG164" s="187"/>
      <c r="EI164" s="187"/>
    </row>
    <row r="165" spans="1:139" x14ac:dyDescent="0.2">
      <c r="A165"/>
      <c r="B165"/>
      <c r="E165" s="187"/>
      <c r="G165" s="187"/>
      <c r="I165" s="201"/>
      <c r="K165" s="201"/>
      <c r="M165" s="201"/>
      <c r="O165" s="201"/>
      <c r="Q165" s="215"/>
      <c r="S165" s="215"/>
      <c r="U165" s="215"/>
      <c r="W165" s="215"/>
      <c r="Y165" s="245"/>
      <c r="AA165" s="245"/>
      <c r="AC165" s="245"/>
      <c r="AE165" s="245"/>
      <c r="AG165" s="245"/>
      <c r="AI165" s="245"/>
      <c r="AK165" s="230"/>
      <c r="AM165" s="230"/>
      <c r="AO165" s="230"/>
      <c r="AQ165" s="230"/>
      <c r="AS165" s="230"/>
      <c r="AU165" s="230"/>
      <c r="AW165" s="261"/>
      <c r="AY165" s="261"/>
      <c r="BA165" s="261"/>
      <c r="BC165" s="261"/>
      <c r="BE165" s="261"/>
      <c r="BG165" s="261"/>
      <c r="BI165" s="261"/>
      <c r="BK165" s="261"/>
      <c r="BM165" s="187"/>
      <c r="BO165" s="187"/>
      <c r="BQ165" s="187"/>
      <c r="BS165" s="187"/>
      <c r="BU165" s="201"/>
      <c r="BW165" s="201"/>
      <c r="BY165" s="201"/>
      <c r="CA165" s="201"/>
      <c r="CC165" s="201"/>
      <c r="CE165" s="201"/>
      <c r="CG165" s="201"/>
      <c r="CI165" s="201"/>
      <c r="CK165" s="215"/>
      <c r="CM165" s="215"/>
      <c r="CO165" s="215"/>
      <c r="CQ165" s="215"/>
      <c r="CS165" s="245"/>
      <c r="CU165" s="245"/>
      <c r="CW165" s="245"/>
      <c r="CY165" s="245"/>
      <c r="DA165" s="230"/>
      <c r="DC165" s="230"/>
      <c r="DE165" s="230"/>
      <c r="DG165" s="230"/>
      <c r="DI165" s="230"/>
      <c r="DK165" s="230"/>
      <c r="DM165" s="261"/>
      <c r="DO165" s="261"/>
      <c r="DQ165" s="261"/>
      <c r="DS165" s="261"/>
      <c r="DU165" s="261"/>
      <c r="DW165" s="261"/>
      <c r="DY165" s="187"/>
      <c r="EA165" s="187"/>
      <c r="EC165" s="187"/>
      <c r="EE165" s="187"/>
      <c r="EG165" s="187"/>
      <c r="EI165" s="187"/>
    </row>
    <row r="166" spans="1:139" x14ac:dyDescent="0.2">
      <c r="A166" s="6" t="s">
        <v>157</v>
      </c>
      <c r="B166" s="7" t="s">
        <v>158</v>
      </c>
      <c r="E166" s="187"/>
      <c r="G166" s="187"/>
      <c r="I166" s="201"/>
      <c r="K166" s="201"/>
      <c r="M166" s="201"/>
      <c r="O166" s="201"/>
      <c r="Q166" s="215"/>
      <c r="S166" s="215"/>
      <c r="U166" s="215"/>
      <c r="W166" s="215"/>
      <c r="Y166" s="245"/>
      <c r="AA166" s="245"/>
      <c r="AC166" s="245"/>
      <c r="AE166" s="245"/>
      <c r="AG166" s="245"/>
      <c r="AI166" s="245"/>
      <c r="AK166" s="230"/>
      <c r="AM166" s="230"/>
      <c r="AO166" s="230"/>
      <c r="AQ166" s="230"/>
      <c r="AS166" s="230"/>
      <c r="AU166" s="230"/>
      <c r="AW166" s="261"/>
      <c r="AY166" s="261"/>
      <c r="BA166" s="261"/>
      <c r="BC166" s="261"/>
      <c r="BE166" s="261"/>
      <c r="BG166" s="261"/>
      <c r="BI166" s="261"/>
      <c r="BK166" s="261"/>
      <c r="BM166" s="187"/>
      <c r="BO166" s="187"/>
      <c r="BQ166" s="187"/>
      <c r="BS166" s="187"/>
      <c r="BU166" s="201"/>
      <c r="BW166" s="201"/>
      <c r="BY166" s="201"/>
      <c r="CA166" s="201"/>
      <c r="CC166" s="201"/>
      <c r="CE166" s="201"/>
      <c r="CG166" s="201"/>
      <c r="CI166" s="201"/>
      <c r="CK166" s="215"/>
      <c r="CM166" s="215"/>
      <c r="CO166" s="215"/>
      <c r="CQ166" s="215"/>
      <c r="CS166" s="245"/>
      <c r="CU166" s="245"/>
      <c r="CW166" s="245"/>
      <c r="CY166" s="245"/>
      <c r="DA166" s="230"/>
      <c r="DC166" s="230"/>
      <c r="DE166" s="230"/>
      <c r="DG166" s="230"/>
      <c r="DI166" s="230"/>
      <c r="DK166" s="230"/>
      <c r="DM166" s="261"/>
      <c r="DO166" s="261"/>
      <c r="DQ166" s="261"/>
      <c r="DS166" s="261"/>
      <c r="DU166" s="261"/>
      <c r="DW166" s="261"/>
      <c r="DY166" s="187"/>
      <c r="EA166" s="187"/>
      <c r="EC166" s="187"/>
      <c r="EE166" s="187"/>
      <c r="EG166" s="187"/>
      <c r="EI166" s="187"/>
    </row>
    <row r="167" spans="1:139" outlineLevel="1" x14ac:dyDescent="0.2">
      <c r="A167"/>
      <c r="B167" s="9" t="s">
        <v>55</v>
      </c>
      <c r="C167" s="8">
        <f>1883.05224610559+89.9477538944136</f>
        <v>1973.0000000000036</v>
      </c>
      <c r="D167" s="188">
        <f>967.527394309411+37.4726056905894</f>
        <v>1005.0000000000003</v>
      </c>
      <c r="E167" s="189"/>
      <c r="F167" s="188">
        <f>915.674025315765+52.3259746842352</f>
        <v>968.00000000000023</v>
      </c>
      <c r="G167" s="189"/>
      <c r="H167" s="202">
        <f>614.914712703891+25.0852872961091</f>
        <v>640.00000000000011</v>
      </c>
      <c r="I167" s="203"/>
      <c r="J167" s="202">
        <f>571.592789928119+29.4072100718807</f>
        <v>600.99999999999977</v>
      </c>
      <c r="K167" s="203"/>
      <c r="L167" s="202">
        <f>352.928444129701+12.0715558702993</f>
        <v>365.00000000000028</v>
      </c>
      <c r="M167" s="203"/>
      <c r="N167" s="202">
        <f>344.344915978557+22.6550840214431</f>
        <v>367.00000000000011</v>
      </c>
      <c r="O167" s="203"/>
      <c r="P167" s="216">
        <f>666.134795233083+26.8652047669171</f>
        <v>693.00000000000011</v>
      </c>
      <c r="Q167" s="217"/>
      <c r="R167" s="216">
        <f>628.589973530577+34.410026469423</f>
        <v>663</v>
      </c>
      <c r="S167" s="217"/>
      <c r="T167" s="216">
        <f>301.732918900987+10.2670810990132</f>
        <v>312.00000000000017</v>
      </c>
      <c r="U167" s="217"/>
      <c r="V167" s="216">
        <f>287.140440951688+17.8595590483123</f>
        <v>305.00000000000028</v>
      </c>
      <c r="W167" s="217"/>
      <c r="X167" s="246">
        <f>108.171904333963+4.82809566603692</f>
        <v>112.99999999999991</v>
      </c>
      <c r="Y167" s="247"/>
      <c r="Z167" s="246">
        <f>100.435584999034+3.56441500096641</f>
        <v>104.00000000000041</v>
      </c>
      <c r="AA167" s="247"/>
      <c r="AB167" s="246">
        <f>97.1245187341028+1.87548126589725</f>
        <v>99.000000000000043</v>
      </c>
      <c r="AC167" s="247"/>
      <c r="AD167" s="246">
        <f>89.7922517565178+7.20774824348219</f>
        <v>96.999999999999986</v>
      </c>
      <c r="AE167" s="247"/>
      <c r="AF167" s="246">
        <f>83.2058580005259+5.79414199947415</f>
        <v>89.000000000000043</v>
      </c>
      <c r="AG167" s="247"/>
      <c r="AH167" s="246">
        <f>105.139139086837+4.86086091316319</f>
        <v>110.0000000000002</v>
      </c>
      <c r="AI167" s="247"/>
      <c r="AJ167" s="231">
        <f>81.347414494191+3.65258550580896</f>
        <v>84.999999999999957</v>
      </c>
      <c r="AK167" s="232"/>
      <c r="AL167" s="231">
        <f>86.7773955885698+3.22260441143024</f>
        <v>90.000000000000043</v>
      </c>
      <c r="AM167" s="232"/>
      <c r="AN167" s="231">
        <f>91.2486792832434+1.75132071675662</f>
        <v>93.000000000000028</v>
      </c>
      <c r="AO167" s="232"/>
      <c r="AP167" s="231">
        <f>61.5558959595598+3.44410404044016</f>
        <v>64.999999999999957</v>
      </c>
      <c r="AQ167" s="232"/>
      <c r="AR167" s="231">
        <f>72.5600476663241+5.43995233367595</f>
        <v>78.000000000000043</v>
      </c>
      <c r="AS167" s="232"/>
      <c r="AT167" s="231">
        <f>96.2370441283936+4.76295587160638</f>
        <v>100.99999999999999</v>
      </c>
      <c r="AU167" s="232"/>
      <c r="AV167" s="262">
        <f>197.715853616343+7.284146383657</f>
        <v>205</v>
      </c>
      <c r="AW167" s="263"/>
      <c r="AX167" s="262">
        <f>222.310601003113+7.68939899688726</f>
        <v>230.00000000000026</v>
      </c>
      <c r="AY167" s="263"/>
      <c r="AZ167" s="262">
        <f>392.403354729256+13.5966452707435</f>
        <v>405.99999999999955</v>
      </c>
      <c r="BA167" s="263"/>
      <c r="BB167" s="262">
        <f>346.728378469888+22.2716215301122</f>
        <v>369.00000000000023</v>
      </c>
      <c r="BC167" s="263"/>
      <c r="BD167" s="262">
        <f>154.550159416201+5.44984058379873</f>
        <v>159.99999999999974</v>
      </c>
      <c r="BE167" s="263"/>
      <c r="BF167" s="262">
        <f>156.704083884388+5.29591611561236</f>
        <v>162.00000000000037</v>
      </c>
      <c r="BG167" s="263"/>
      <c r="BH167" s="262">
        <f>230.339276084846+3.66072391515439</f>
        <v>234.0000000000004</v>
      </c>
      <c r="BI167" s="263"/>
      <c r="BJ167" s="262">
        <f>200.935318042598+6.06468195740226</f>
        <v>207.00000000000026</v>
      </c>
      <c r="BK167" s="263"/>
      <c r="BL167" s="188">
        <f>467.920890025199+23.0791099748013</f>
        <v>491.00000000000034</v>
      </c>
      <c r="BM167" s="189"/>
      <c r="BN167" s="188">
        <f>455.419752172956+21.5802478270436</f>
        <v>476.9999999999996</v>
      </c>
      <c r="BO167" s="189"/>
      <c r="BP167" s="188">
        <f>499.920187868175+14.0798121318251</f>
        <v>514.00000000000011</v>
      </c>
      <c r="BQ167" s="189"/>
      <c r="BR167" s="188">
        <f>460.279012276745+30.7209877232551</f>
        <v>491.00000000000011</v>
      </c>
      <c r="BS167" s="189"/>
      <c r="BT167" s="202">
        <f>199.012276964019+5.98772303598091</f>
        <v>204.99999999999991</v>
      </c>
      <c r="BU167" s="203"/>
      <c r="BV167" s="202">
        <f>181.014059701763+4.98594029823695</f>
        <v>185.99999999999994</v>
      </c>
      <c r="BW167" s="203"/>
      <c r="BX167" s="202">
        <f>358.107365326749+11.8926346732514</f>
        <v>370.0000000000004</v>
      </c>
      <c r="BY167" s="203"/>
      <c r="BZ167" s="202">
        <f>390.539964767126+7.46003523287402</f>
        <v>398</v>
      </c>
      <c r="CA167" s="203"/>
      <c r="CB167" s="202">
        <f>216.489006579472+5.51099342052765</f>
        <v>221.99999999999966</v>
      </c>
      <c r="CC167" s="203"/>
      <c r="CD167" s="202">
        <f>193.528998687179+8.47100131282144</f>
        <v>202.00000000000045</v>
      </c>
      <c r="CE167" s="203"/>
      <c r="CF167" s="202">
        <f>196.54096017015+11.45903982985</f>
        <v>208</v>
      </c>
      <c r="CG167" s="203"/>
      <c r="CH167" s="202">
        <f>168.225931261699+13.7740687383015</f>
        <v>182.00000000000051</v>
      </c>
      <c r="CI167" s="203"/>
      <c r="CJ167" s="216">
        <f>434.967758722076+15.0322412779238</f>
        <v>449.99999999999977</v>
      </c>
      <c r="CK167" s="217"/>
      <c r="CL167" s="216">
        <f>461.320453395883+26.6795466041166</f>
        <v>487.9999999999996</v>
      </c>
      <c r="CM167" s="217"/>
      <c r="CN167" s="216">
        <f>499.832494257641+21.1675057423587</f>
        <v>520.99999999999966</v>
      </c>
      <c r="CO167" s="217"/>
      <c r="CP167" s="216">
        <f>419.228434557519+23.7715654424807</f>
        <v>442.99999999999972</v>
      </c>
      <c r="CQ167" s="217"/>
      <c r="CR167" s="246">
        <f>278.600721225599+9.39927877440061</f>
        <v>287.9999999999996</v>
      </c>
      <c r="CS167" s="247"/>
      <c r="CT167" s="246">
        <f>288.303155214841+11.696844785159</f>
        <v>300</v>
      </c>
      <c r="CU167" s="247"/>
      <c r="CV167" s="246">
        <f>687.2765940079+27.7234059920997</f>
        <v>714.99999999999977</v>
      </c>
      <c r="CW167" s="247"/>
      <c r="CX167" s="246">
        <f>623.292717768491+39.7072822315085</f>
        <v>662.99999999999955</v>
      </c>
      <c r="CY167" s="247"/>
      <c r="CZ167" s="231">
        <f>692.423144809988+22.576855190012</f>
        <v>715</v>
      </c>
      <c r="DA167" s="232"/>
      <c r="DB167" s="231">
        <f>663.537743943924+34.4622560560761</f>
        <v>698.00000000000011</v>
      </c>
      <c r="DC167" s="232"/>
      <c r="DD167" s="231">
        <f>144.910200171351+8.08979982864935</f>
        <v>153.00000000000034</v>
      </c>
      <c r="DE167" s="232"/>
      <c r="DF167" s="231">
        <f>147.583017202747+10.4169827972532</f>
        <v>158.0000000000002</v>
      </c>
      <c r="DG167" s="232"/>
      <c r="DH167" s="231">
        <f>137.928914326619+13.0710856733805</f>
        <v>150.99999999999952</v>
      </c>
      <c r="DI167" s="232"/>
      <c r="DJ167" s="231">
        <f>128.919238413463+7.08076158653716</f>
        <v>136.00000000000017</v>
      </c>
      <c r="DK167" s="232"/>
      <c r="DL167" s="262">
        <f>413.862071051737+17.1379289482628</f>
        <v>430.99999999999983</v>
      </c>
      <c r="DM167" s="263"/>
      <c r="DN167" s="262">
        <f>357.90141607247+21.0985839275298</f>
        <v>378.99999999999977</v>
      </c>
      <c r="DO167" s="263"/>
      <c r="DP167" s="262">
        <f>241.873526237823+8.1264737621774</f>
        <v>250.0000000000004</v>
      </c>
      <c r="DQ167" s="263"/>
      <c r="DR167" s="262">
        <f>256.512738009862+13.4872619901379</f>
        <v>269.99999999999989</v>
      </c>
      <c r="DS167" s="263"/>
      <c r="DT167" s="262">
        <f>225.871080498257+9.12891950174273</f>
        <v>234.99999999999972</v>
      </c>
      <c r="DU167" s="263"/>
      <c r="DV167" s="262">
        <f>199.781557066392+11.2184429336075</f>
        <v>210.99999999999949</v>
      </c>
      <c r="DW167" s="263"/>
      <c r="DX167" s="188">
        <f>259.270985115657+12.7290148843434</f>
        <v>272.00000000000045</v>
      </c>
      <c r="DY167" s="189"/>
      <c r="DZ167" s="188">
        <f>303.859853266346+18.1401467336542</f>
        <v>322.00000000000023</v>
      </c>
      <c r="EA167" s="189"/>
      <c r="EB167" s="188">
        <f>517.130870757899+18.8691292421007</f>
        <v>535.99999999999966</v>
      </c>
      <c r="EC167" s="189"/>
      <c r="ED167" s="188">
        <f>405.927020493304+22.0729795066961</f>
        <v>428.00000000000011</v>
      </c>
      <c r="EE167" s="189"/>
      <c r="EF167" s="188">
        <f>191.387221855571+5.61277814442948</f>
        <v>197.00000000000048</v>
      </c>
      <c r="EG167" s="189"/>
      <c r="EH167" s="188">
        <f>206.572842939928+11.4271570600716</f>
        <v>217.9999999999996</v>
      </c>
      <c r="EI167" s="189"/>
    </row>
    <row r="168" spans="1:139" s="18" customFormat="1" outlineLevel="1" x14ac:dyDescent="0.2">
      <c r="A168"/>
      <c r="B168" s="16"/>
      <c r="C168" s="17" t="s">
        <v>167</v>
      </c>
      <c r="D168" s="190" t="s">
        <v>167</v>
      </c>
      <c r="E168" s="191"/>
      <c r="F168" s="190" t="s">
        <v>167</v>
      </c>
      <c r="G168" s="191"/>
      <c r="H168" s="204" t="s">
        <v>167</v>
      </c>
      <c r="I168" s="205"/>
      <c r="J168" s="204" t="s">
        <v>167</v>
      </c>
      <c r="K168" s="205"/>
      <c r="L168" s="204" t="s">
        <v>167</v>
      </c>
      <c r="M168" s="205"/>
      <c r="N168" s="204" t="s">
        <v>167</v>
      </c>
      <c r="O168" s="205"/>
      <c r="P168" s="218" t="s">
        <v>167</v>
      </c>
      <c r="Q168" s="219"/>
      <c r="R168" s="218" t="s">
        <v>167</v>
      </c>
      <c r="S168" s="219"/>
      <c r="T168" s="218" t="s">
        <v>167</v>
      </c>
      <c r="U168" s="219"/>
      <c r="V168" s="218" t="s">
        <v>167</v>
      </c>
      <c r="W168" s="219"/>
      <c r="X168" s="248" t="s">
        <v>167</v>
      </c>
      <c r="Y168" s="249"/>
      <c r="Z168" s="248" t="s">
        <v>167</v>
      </c>
      <c r="AA168" s="249"/>
      <c r="AB168" s="248" t="s">
        <v>167</v>
      </c>
      <c r="AC168" s="249"/>
      <c r="AD168" s="248" t="s">
        <v>167</v>
      </c>
      <c r="AE168" s="249"/>
      <c r="AF168" s="248" t="s">
        <v>167</v>
      </c>
      <c r="AG168" s="249"/>
      <c r="AH168" s="248" t="s">
        <v>167</v>
      </c>
      <c r="AI168" s="249"/>
      <c r="AJ168" s="233" t="s">
        <v>167</v>
      </c>
      <c r="AK168" s="234"/>
      <c r="AL168" s="233" t="s">
        <v>167</v>
      </c>
      <c r="AM168" s="234"/>
      <c r="AN168" s="233" t="s">
        <v>167</v>
      </c>
      <c r="AO168" s="234"/>
      <c r="AP168" s="233" t="s">
        <v>167</v>
      </c>
      <c r="AQ168" s="234"/>
      <c r="AR168" s="233" t="s">
        <v>167</v>
      </c>
      <c r="AS168" s="234"/>
      <c r="AT168" s="233" t="s">
        <v>167</v>
      </c>
      <c r="AU168" s="234"/>
      <c r="AV168" s="264" t="s">
        <v>167</v>
      </c>
      <c r="AW168" s="265"/>
      <c r="AX168" s="264" t="s">
        <v>167</v>
      </c>
      <c r="AY168" s="265"/>
      <c r="AZ168" s="264" t="s">
        <v>167</v>
      </c>
      <c r="BA168" s="265"/>
      <c r="BB168" s="264" t="s">
        <v>167</v>
      </c>
      <c r="BC168" s="265"/>
      <c r="BD168" s="264" t="s">
        <v>167</v>
      </c>
      <c r="BE168" s="265"/>
      <c r="BF168" s="264" t="s">
        <v>167</v>
      </c>
      <c r="BG168" s="265"/>
      <c r="BH168" s="264" t="s">
        <v>167</v>
      </c>
      <c r="BI168" s="265"/>
      <c r="BJ168" s="264" t="s">
        <v>167</v>
      </c>
      <c r="BK168" s="265"/>
      <c r="BL168" s="190" t="s">
        <v>167</v>
      </c>
      <c r="BM168" s="191"/>
      <c r="BN168" s="190" t="s">
        <v>167</v>
      </c>
      <c r="BO168" s="191"/>
      <c r="BP168" s="190" t="s">
        <v>167</v>
      </c>
      <c r="BQ168" s="191"/>
      <c r="BR168" s="190" t="s">
        <v>167</v>
      </c>
      <c r="BS168" s="191"/>
      <c r="BT168" s="204" t="s">
        <v>167</v>
      </c>
      <c r="BU168" s="205"/>
      <c r="BV168" s="204" t="s">
        <v>167</v>
      </c>
      <c r="BW168" s="205"/>
      <c r="BX168" s="204" t="s">
        <v>167</v>
      </c>
      <c r="BY168" s="205"/>
      <c r="BZ168" s="204" t="s">
        <v>167</v>
      </c>
      <c r="CA168" s="205"/>
      <c r="CB168" s="204" t="s">
        <v>167</v>
      </c>
      <c r="CC168" s="205"/>
      <c r="CD168" s="204" t="s">
        <v>167</v>
      </c>
      <c r="CE168" s="205"/>
      <c r="CF168" s="204" t="s">
        <v>167</v>
      </c>
      <c r="CG168" s="205"/>
      <c r="CH168" s="204" t="s">
        <v>167</v>
      </c>
      <c r="CI168" s="205"/>
      <c r="CJ168" s="218" t="s">
        <v>167</v>
      </c>
      <c r="CK168" s="219"/>
      <c r="CL168" s="218" t="s">
        <v>167</v>
      </c>
      <c r="CM168" s="219"/>
      <c r="CN168" s="218" t="s">
        <v>167</v>
      </c>
      <c r="CO168" s="219"/>
      <c r="CP168" s="218" t="s">
        <v>167</v>
      </c>
      <c r="CQ168" s="219"/>
      <c r="CR168" s="248" t="s">
        <v>167</v>
      </c>
      <c r="CS168" s="249"/>
      <c r="CT168" s="248" t="s">
        <v>167</v>
      </c>
      <c r="CU168" s="249"/>
      <c r="CV168" s="248" t="s">
        <v>167</v>
      </c>
      <c r="CW168" s="249"/>
      <c r="CX168" s="248" t="s">
        <v>167</v>
      </c>
      <c r="CY168" s="249"/>
      <c r="CZ168" s="233" t="s">
        <v>167</v>
      </c>
      <c r="DA168" s="234"/>
      <c r="DB168" s="233" t="s">
        <v>167</v>
      </c>
      <c r="DC168" s="234"/>
      <c r="DD168" s="233" t="s">
        <v>167</v>
      </c>
      <c r="DE168" s="234"/>
      <c r="DF168" s="233" t="s">
        <v>167</v>
      </c>
      <c r="DG168" s="234"/>
      <c r="DH168" s="233" t="s">
        <v>167</v>
      </c>
      <c r="DI168" s="234"/>
      <c r="DJ168" s="233" t="s">
        <v>167</v>
      </c>
      <c r="DK168" s="234"/>
      <c r="DL168" s="264" t="s">
        <v>167</v>
      </c>
      <c r="DM168" s="265"/>
      <c r="DN168" s="264" t="s">
        <v>167</v>
      </c>
      <c r="DO168" s="265"/>
      <c r="DP168" s="264" t="s">
        <v>167</v>
      </c>
      <c r="DQ168" s="265"/>
      <c r="DR168" s="264" t="s">
        <v>167</v>
      </c>
      <c r="DS168" s="265"/>
      <c r="DT168" s="264" t="s">
        <v>167</v>
      </c>
      <c r="DU168" s="265"/>
      <c r="DV168" s="264" t="s">
        <v>167</v>
      </c>
      <c r="DW168" s="265"/>
      <c r="DX168" s="190" t="s">
        <v>167</v>
      </c>
      <c r="DY168" s="191"/>
      <c r="DZ168" s="190" t="s">
        <v>167</v>
      </c>
      <c r="EA168" s="191"/>
      <c r="EB168" s="190" t="s">
        <v>167</v>
      </c>
      <c r="EC168" s="191"/>
      <c r="ED168" s="190" t="s">
        <v>167</v>
      </c>
      <c r="EE168" s="191"/>
      <c r="EF168" s="190" t="s">
        <v>167</v>
      </c>
      <c r="EG168" s="191"/>
      <c r="EH168" s="190" t="s">
        <v>167</v>
      </c>
      <c r="EI168" s="191"/>
    </row>
    <row r="169" spans="1:139" outlineLevel="1" x14ac:dyDescent="0.2">
      <c r="A169"/>
      <c r="B169"/>
      <c r="E169" s="187"/>
      <c r="G169" s="187"/>
      <c r="I169" s="201"/>
      <c r="K169" s="201"/>
      <c r="M169" s="201"/>
      <c r="O169" s="201"/>
      <c r="Q169" s="215"/>
      <c r="S169" s="215"/>
      <c r="U169" s="215"/>
      <c r="W169" s="215"/>
      <c r="Y169" s="245"/>
      <c r="AA169" s="245"/>
      <c r="AC169" s="245"/>
      <c r="AE169" s="245"/>
      <c r="AG169" s="245"/>
      <c r="AI169" s="245"/>
      <c r="AK169" s="230"/>
      <c r="AM169" s="230"/>
      <c r="AO169" s="230"/>
      <c r="AQ169" s="230"/>
      <c r="AS169" s="230"/>
      <c r="AU169" s="230"/>
      <c r="AW169" s="261"/>
      <c r="AY169" s="261"/>
      <c r="BA169" s="261"/>
      <c r="BC169" s="261"/>
      <c r="BE169" s="261"/>
      <c r="BG169" s="261"/>
      <c r="BI169" s="261"/>
      <c r="BK169" s="261"/>
      <c r="BM169" s="187"/>
      <c r="BO169" s="187"/>
      <c r="BQ169" s="187"/>
      <c r="BS169" s="187"/>
      <c r="BU169" s="201"/>
      <c r="BW169" s="201"/>
      <c r="BY169" s="201"/>
      <c r="CA169" s="201"/>
      <c r="CC169" s="201"/>
      <c r="CE169" s="201"/>
      <c r="CG169" s="201"/>
      <c r="CI169" s="201"/>
      <c r="CK169" s="215"/>
      <c r="CM169" s="215"/>
      <c r="CO169" s="215"/>
      <c r="CQ169" s="215"/>
      <c r="CS169" s="245"/>
      <c r="CU169" s="245"/>
      <c r="CW169" s="245"/>
      <c r="CY169" s="245"/>
      <c r="DA169" s="230"/>
      <c r="DC169" s="230"/>
      <c r="DE169" s="230"/>
      <c r="DG169" s="230"/>
      <c r="DI169" s="230"/>
      <c r="DK169" s="230"/>
      <c r="DM169" s="261"/>
      <c r="DO169" s="261"/>
      <c r="DQ169" s="261"/>
      <c r="DS169" s="261"/>
      <c r="DU169" s="261"/>
      <c r="DW169" s="261"/>
      <c r="DY169" s="187"/>
      <c r="EA169" s="187"/>
      <c r="EC169" s="187"/>
      <c r="EE169" s="187"/>
      <c r="EG169" s="187"/>
      <c r="EI169" s="187"/>
    </row>
    <row r="170" spans="1:139" outlineLevel="1" x14ac:dyDescent="0.2">
      <c r="A170"/>
      <c r="B170" s="7" t="s">
        <v>148</v>
      </c>
      <c r="C170" s="10">
        <v>51.235497270328494</v>
      </c>
      <c r="D170" s="192">
        <v>51.178133692414555</v>
      </c>
      <c r="E170" s="189"/>
      <c r="F170" s="192">
        <v>51.295039690781103</v>
      </c>
      <c r="G170" s="189"/>
      <c r="H170" s="206">
        <v>55.667770355919124</v>
      </c>
      <c r="I170" s="203"/>
      <c r="J170" s="206">
        <v>59.875532566136805</v>
      </c>
      <c r="K170" s="203"/>
      <c r="L170" s="206">
        <v>43.642497353069515</v>
      </c>
      <c r="M170" s="203"/>
      <c r="N170" s="206">
        <v>37.540236824412396</v>
      </c>
      <c r="O170" s="203"/>
      <c r="P170" s="220">
        <v>57.183155048444277</v>
      </c>
      <c r="Q170" s="217"/>
      <c r="R170" s="220">
        <v>61.329466345845049</v>
      </c>
      <c r="S170" s="217"/>
      <c r="T170" s="220">
        <v>38.443086593728147</v>
      </c>
      <c r="U170" s="217" t="s">
        <v>186</v>
      </c>
      <c r="V170" s="220">
        <v>29.695593766970632</v>
      </c>
      <c r="W170" s="217"/>
      <c r="X170" s="250">
        <v>56.803962763747109</v>
      </c>
      <c r="Y170" s="247"/>
      <c r="Z170" s="250">
        <v>38.034071850325859</v>
      </c>
      <c r="AA170" s="247" t="s">
        <v>190</v>
      </c>
      <c r="AB170" s="250">
        <v>33.238220575043677</v>
      </c>
      <c r="AC170" s="247"/>
      <c r="AD170" s="250">
        <v>61.782257370836433</v>
      </c>
      <c r="AE170" s="247"/>
      <c r="AF170" s="250">
        <v>22.964579904887547</v>
      </c>
      <c r="AG170" s="247"/>
      <c r="AH170" s="250">
        <v>28.990166486322305</v>
      </c>
      <c r="AI170" s="247"/>
      <c r="AJ170" s="235">
        <v>47.588009808619191</v>
      </c>
      <c r="AK170" s="232"/>
      <c r="AL170" s="235">
        <v>34.46025023296486</v>
      </c>
      <c r="AM170" s="232" t="s">
        <v>196</v>
      </c>
      <c r="AN170" s="235">
        <v>32.077016075988752</v>
      </c>
      <c r="AO170" s="232"/>
      <c r="AP170" s="235">
        <v>46.94688496227851</v>
      </c>
      <c r="AQ170" s="232"/>
      <c r="AR170" s="235">
        <v>18.477133955904836</v>
      </c>
      <c r="AS170" s="232"/>
      <c r="AT170" s="235">
        <v>24.556124668443235</v>
      </c>
      <c r="AU170" s="232"/>
      <c r="AV170" s="266">
        <v>53.271215895294674</v>
      </c>
      <c r="AW170" s="263"/>
      <c r="AX170" s="266">
        <v>49.326782984575523</v>
      </c>
      <c r="AY170" s="263"/>
      <c r="AZ170" s="266">
        <v>50.731444790394598</v>
      </c>
      <c r="BA170" s="263"/>
      <c r="BB170" s="266">
        <v>58.363626112425031</v>
      </c>
      <c r="BC170" s="263" t="s">
        <v>173</v>
      </c>
      <c r="BD170" s="266">
        <v>58.439251850993521</v>
      </c>
      <c r="BE170" s="263"/>
      <c r="BF170" s="266">
        <v>49.339072210490166</v>
      </c>
      <c r="BG170" s="263"/>
      <c r="BH170" s="266">
        <v>44.427265795474909</v>
      </c>
      <c r="BI170" s="263"/>
      <c r="BJ170" s="266">
        <v>39.513334060966521</v>
      </c>
      <c r="BK170" s="263"/>
      <c r="BL170" s="192">
        <v>50.602122644476545</v>
      </c>
      <c r="BM170" s="189"/>
      <c r="BN170" s="192">
        <v>51.273255800325977</v>
      </c>
      <c r="BO170" s="189"/>
      <c r="BP170" s="192">
        <v>51.737045401878611</v>
      </c>
      <c r="BQ170" s="189"/>
      <c r="BR170" s="192">
        <v>51.316370686613496</v>
      </c>
      <c r="BS170" s="189"/>
      <c r="BT170" s="206">
        <v>55.904089127527406</v>
      </c>
      <c r="BU170" s="203"/>
      <c r="BV170" s="206">
        <v>53.72052231961927</v>
      </c>
      <c r="BW170" s="203"/>
      <c r="BX170" s="206">
        <v>53.012880935295328</v>
      </c>
      <c r="BY170" s="203"/>
      <c r="BZ170" s="206">
        <v>50.270425558949434</v>
      </c>
      <c r="CA170" s="203"/>
      <c r="CB170" s="206">
        <v>46.724786929102905</v>
      </c>
      <c r="CC170" s="203"/>
      <c r="CD170" s="206">
        <v>48.98111871390207</v>
      </c>
      <c r="CE170" s="203"/>
      <c r="CF170" s="206">
        <v>48.599966560622619</v>
      </c>
      <c r="CG170" s="203"/>
      <c r="CH170" s="206">
        <v>53.267422499300025</v>
      </c>
      <c r="CI170" s="203"/>
      <c r="CJ170" s="220">
        <v>50.694888333842314</v>
      </c>
      <c r="CK170" s="217"/>
      <c r="CL170" s="220">
        <v>46.561369184669253</v>
      </c>
      <c r="CM170" s="217"/>
      <c r="CN170" s="220">
        <v>51.400316541193092</v>
      </c>
      <c r="CO170" s="217"/>
      <c r="CP170" s="220">
        <v>57.579809410969787</v>
      </c>
      <c r="CQ170" s="217"/>
      <c r="CR170" s="250">
        <v>46.383672482301122</v>
      </c>
      <c r="CS170" s="247"/>
      <c r="CT170" s="250">
        <v>43.798000659092686</v>
      </c>
      <c r="CU170" s="247"/>
      <c r="CV170" s="250">
        <v>53.340340925276884</v>
      </c>
      <c r="CW170" s="247"/>
      <c r="CX170" s="250">
        <v>54.66173501447696</v>
      </c>
      <c r="CY170" s="247"/>
      <c r="CZ170" s="235">
        <v>48.947734698518587</v>
      </c>
      <c r="DA170" s="232"/>
      <c r="DB170" s="235">
        <v>49.222765264077694</v>
      </c>
      <c r="DC170" s="232"/>
      <c r="DD170" s="235">
        <v>58.953042013238502</v>
      </c>
      <c r="DE170" s="232"/>
      <c r="DF170" s="235">
        <v>56.507052771600883</v>
      </c>
      <c r="DG170" s="232"/>
      <c r="DH170" s="235">
        <v>53.586473699192872</v>
      </c>
      <c r="DI170" s="232"/>
      <c r="DJ170" s="235">
        <v>54.497982633529624</v>
      </c>
      <c r="DK170" s="232"/>
      <c r="DL170" s="266">
        <v>62.179519029224394</v>
      </c>
      <c r="DM170" s="263"/>
      <c r="DN170" s="266">
        <v>67.321491802117734</v>
      </c>
      <c r="DO170" s="263"/>
      <c r="DP170" s="266">
        <v>40.828463128932803</v>
      </c>
      <c r="DQ170" s="263"/>
      <c r="DR170" s="266">
        <v>41.074700125874294</v>
      </c>
      <c r="DS170" s="263"/>
      <c r="DT170" s="266">
        <v>41.063680494894967</v>
      </c>
      <c r="DU170" s="263"/>
      <c r="DV170" s="266">
        <v>38.048551186918715</v>
      </c>
      <c r="DW170" s="263"/>
      <c r="DX170" s="192">
        <v>58.339371755126436</v>
      </c>
      <c r="DY170" s="189"/>
      <c r="DZ170" s="192">
        <v>60.348571276426775</v>
      </c>
      <c r="EA170" s="189"/>
      <c r="EB170" s="192">
        <v>50.615918768980855</v>
      </c>
      <c r="EC170" s="189"/>
      <c r="ED170" s="192">
        <v>50.549543359768336</v>
      </c>
      <c r="EE170" s="189"/>
      <c r="EF170" s="192">
        <v>42.997779836000667</v>
      </c>
      <c r="EG170" s="189"/>
      <c r="EH170" s="192">
        <v>38.656124409441311</v>
      </c>
      <c r="EI170" s="189"/>
    </row>
    <row r="171" spans="1:139" outlineLevel="1" x14ac:dyDescent="0.2">
      <c r="A171"/>
      <c r="B171" s="11" t="s">
        <v>149</v>
      </c>
      <c r="C171" s="12">
        <v>21.779642258543813</v>
      </c>
      <c r="D171" s="193">
        <v>21.742468846579211</v>
      </c>
      <c r="E171" s="189"/>
      <c r="F171" s="193">
        <v>21.818227629354794</v>
      </c>
      <c r="G171" s="189"/>
      <c r="H171" s="207">
        <v>24.250552641504022</v>
      </c>
      <c r="I171" s="203"/>
      <c r="J171" s="207">
        <v>25.996742633091891</v>
      </c>
      <c r="K171" s="203"/>
      <c r="L171" s="207">
        <v>17.532772427091075</v>
      </c>
      <c r="M171" s="203"/>
      <c r="N171" s="207">
        <v>15.119935236893017</v>
      </c>
      <c r="O171" s="203"/>
      <c r="P171" s="221">
        <v>25.48706949441501</v>
      </c>
      <c r="Q171" s="217"/>
      <c r="R171" s="221">
        <v>28.113929554291811</v>
      </c>
      <c r="S171" s="217"/>
      <c r="T171" s="221">
        <v>13.801170591565224</v>
      </c>
      <c r="U171" s="217" t="s">
        <v>186</v>
      </c>
      <c r="V171" s="221">
        <v>8.2665143173160462</v>
      </c>
      <c r="W171" s="217"/>
      <c r="X171" s="251">
        <v>24.197934437099704</v>
      </c>
      <c r="Y171" s="247"/>
      <c r="Z171" s="251">
        <v>17.241646691224336</v>
      </c>
      <c r="AA171" s="247"/>
      <c r="AB171" s="251">
        <v>11.717950836441466</v>
      </c>
      <c r="AC171" s="247"/>
      <c r="AD171" s="251">
        <v>31.809124809625725</v>
      </c>
      <c r="AE171" s="247"/>
      <c r="AF171" s="251">
        <v>8.2175028674273847</v>
      </c>
      <c r="AG171" s="247"/>
      <c r="AH171" s="251">
        <v>11.372325682935626</v>
      </c>
      <c r="AI171" s="247"/>
      <c r="AJ171" s="236">
        <v>16.691564023788722</v>
      </c>
      <c r="AK171" s="232"/>
      <c r="AL171" s="236">
        <v>12.410623197558618</v>
      </c>
      <c r="AM171" s="232"/>
      <c r="AN171" s="236">
        <v>12.43806286319227</v>
      </c>
      <c r="AO171" s="232"/>
      <c r="AP171" s="236">
        <v>16.516709011617504</v>
      </c>
      <c r="AQ171" s="232"/>
      <c r="AR171" s="236">
        <v>6.8288392016557262</v>
      </c>
      <c r="AS171" s="232"/>
      <c r="AT171" s="236">
        <v>6.5113770339011952</v>
      </c>
      <c r="AU171" s="232"/>
      <c r="AV171" s="267">
        <v>19.866381606544369</v>
      </c>
      <c r="AW171" s="263"/>
      <c r="AX171" s="267">
        <v>17.666875486509618</v>
      </c>
      <c r="AY171" s="263"/>
      <c r="AZ171" s="267">
        <v>22.371737580936625</v>
      </c>
      <c r="BA171" s="263"/>
      <c r="BB171" s="267">
        <v>28.403622472345784</v>
      </c>
      <c r="BC171" s="263"/>
      <c r="BD171" s="267">
        <v>26.531573108084171</v>
      </c>
      <c r="BE171" s="263"/>
      <c r="BF171" s="267">
        <v>18.606323251628396</v>
      </c>
      <c r="BG171" s="263"/>
      <c r="BH171" s="267">
        <v>18.791378303801395</v>
      </c>
      <c r="BI171" s="263"/>
      <c r="BJ171" s="267">
        <v>14.664916690570696</v>
      </c>
      <c r="BK171" s="263"/>
      <c r="BL171" s="193">
        <v>19.740808119514195</v>
      </c>
      <c r="BM171" s="189"/>
      <c r="BN171" s="193">
        <v>22.462070386571909</v>
      </c>
      <c r="BO171" s="189"/>
      <c r="BP171" s="193">
        <v>23.684708709401001</v>
      </c>
      <c r="BQ171" s="189"/>
      <c r="BR171" s="193">
        <v>21.187770585916773</v>
      </c>
      <c r="BS171" s="189"/>
      <c r="BT171" s="207">
        <v>21.619333471223143</v>
      </c>
      <c r="BU171" s="203"/>
      <c r="BV171" s="207">
        <v>19.74964771213331</v>
      </c>
      <c r="BW171" s="203"/>
      <c r="BX171" s="207">
        <v>23.954130666125771</v>
      </c>
      <c r="BY171" s="203"/>
      <c r="BZ171" s="207">
        <v>22.010536487569464</v>
      </c>
      <c r="CA171" s="203"/>
      <c r="CB171" s="207">
        <v>15.543864336278927</v>
      </c>
      <c r="CC171" s="203"/>
      <c r="CD171" s="207">
        <v>19.149468417761099</v>
      </c>
      <c r="CE171" s="203"/>
      <c r="CF171" s="207">
        <v>24.597456316950328</v>
      </c>
      <c r="CG171" s="203"/>
      <c r="CH171" s="207">
        <v>26.099758573475164</v>
      </c>
      <c r="CI171" s="203"/>
      <c r="CJ171" s="221">
        <v>23.217196078546355</v>
      </c>
      <c r="CK171" s="217"/>
      <c r="CL171" s="221">
        <v>19.201946570870124</v>
      </c>
      <c r="CM171" s="217"/>
      <c r="CN171" s="221">
        <v>19.946614374821319</v>
      </c>
      <c r="CO171" s="217"/>
      <c r="CP171" s="221">
        <v>25.51647373409995</v>
      </c>
      <c r="CQ171" s="217" t="s">
        <v>217</v>
      </c>
      <c r="CR171" s="251">
        <v>22.563147938157254</v>
      </c>
      <c r="CS171" s="247"/>
      <c r="CT171" s="251">
        <v>18.093769898455044</v>
      </c>
      <c r="CU171" s="247"/>
      <c r="CV171" s="251">
        <v>21.458154654922367</v>
      </c>
      <c r="CW171" s="247"/>
      <c r="CX171" s="251">
        <v>23.323068355924903</v>
      </c>
      <c r="CY171" s="247"/>
      <c r="CZ171" s="236">
        <v>18.746891653638841</v>
      </c>
      <c r="DA171" s="232"/>
      <c r="DB171" s="236">
        <v>20.133330298058183</v>
      </c>
      <c r="DC171" s="232"/>
      <c r="DD171" s="236">
        <v>30.198440555154146</v>
      </c>
      <c r="DE171" s="232"/>
      <c r="DF171" s="236">
        <v>27.06043946885012</v>
      </c>
      <c r="DG171" s="232"/>
      <c r="DH171" s="236">
        <v>23.921491242397554</v>
      </c>
      <c r="DI171" s="232"/>
      <c r="DJ171" s="236">
        <v>22.336262075319656</v>
      </c>
      <c r="DK171" s="232"/>
      <c r="DL171" s="267">
        <v>27.645490224419586</v>
      </c>
      <c r="DM171" s="263"/>
      <c r="DN171" s="267">
        <v>34.706300474483093</v>
      </c>
      <c r="DO171" s="263" t="s">
        <v>228</v>
      </c>
      <c r="DP171" s="267">
        <v>16.148731193241506</v>
      </c>
      <c r="DQ171" s="263"/>
      <c r="DR171" s="267">
        <v>17.015447427856611</v>
      </c>
      <c r="DS171" s="263"/>
      <c r="DT171" s="267">
        <v>17.647079244031975</v>
      </c>
      <c r="DU171" s="263" t="s">
        <v>233</v>
      </c>
      <c r="DV171" s="267">
        <v>10.361961324166373</v>
      </c>
      <c r="DW171" s="263"/>
      <c r="DX171" s="193">
        <v>25.276509916707131</v>
      </c>
      <c r="DY171" s="189"/>
      <c r="DZ171" s="193">
        <v>32.329528361621968</v>
      </c>
      <c r="EA171" s="189"/>
      <c r="EB171" s="193">
        <v>21.614598915473401</v>
      </c>
      <c r="EC171" s="189"/>
      <c r="ED171" s="193">
        <v>17.485470538083366</v>
      </c>
      <c r="EE171" s="189"/>
      <c r="EF171" s="193">
        <v>17.31561897699391</v>
      </c>
      <c r="EG171" s="189"/>
      <c r="EH171" s="193">
        <v>13.955110388588809</v>
      </c>
      <c r="EI171" s="189"/>
    </row>
    <row r="172" spans="1:139" outlineLevel="1" x14ac:dyDescent="0.2">
      <c r="A172"/>
      <c r="B172" s="11" t="s">
        <v>150</v>
      </c>
      <c r="C172" s="12">
        <v>29.455855011784685</v>
      </c>
      <c r="D172" s="193">
        <v>29.435664845835344</v>
      </c>
      <c r="E172" s="189"/>
      <c r="F172" s="193">
        <v>29.476812061426305</v>
      </c>
      <c r="G172" s="189"/>
      <c r="H172" s="207">
        <v>31.417217714415099</v>
      </c>
      <c r="I172" s="203"/>
      <c r="J172" s="207">
        <v>33.878789933044914</v>
      </c>
      <c r="K172" s="203"/>
      <c r="L172" s="207">
        <v>26.109724925978441</v>
      </c>
      <c r="M172" s="203"/>
      <c r="N172" s="207">
        <v>22.420301587519379</v>
      </c>
      <c r="O172" s="203"/>
      <c r="P172" s="221">
        <v>31.696085554029267</v>
      </c>
      <c r="Q172" s="217"/>
      <c r="R172" s="221">
        <v>33.215536791553234</v>
      </c>
      <c r="S172" s="217"/>
      <c r="T172" s="221">
        <v>24.641916002162926</v>
      </c>
      <c r="U172" s="217"/>
      <c r="V172" s="221">
        <v>21.429079449654587</v>
      </c>
      <c r="W172" s="217"/>
      <c r="X172" s="251">
        <v>32.606028326647404</v>
      </c>
      <c r="Y172" s="247"/>
      <c r="Z172" s="251">
        <v>20.792425159101526</v>
      </c>
      <c r="AA172" s="247"/>
      <c r="AB172" s="251">
        <v>21.520269738602209</v>
      </c>
      <c r="AC172" s="247"/>
      <c r="AD172" s="251">
        <v>29.973132561210704</v>
      </c>
      <c r="AE172" s="247"/>
      <c r="AF172" s="251">
        <v>14.747077037460162</v>
      </c>
      <c r="AG172" s="247"/>
      <c r="AH172" s="251">
        <v>17.617840803386677</v>
      </c>
      <c r="AI172" s="247"/>
      <c r="AJ172" s="236">
        <v>30.896445784830465</v>
      </c>
      <c r="AK172" s="232"/>
      <c r="AL172" s="236">
        <v>22.049627035406242</v>
      </c>
      <c r="AM172" s="232"/>
      <c r="AN172" s="236">
        <v>19.63895321279648</v>
      </c>
      <c r="AO172" s="232"/>
      <c r="AP172" s="236">
        <v>30.430175950661003</v>
      </c>
      <c r="AQ172" s="232"/>
      <c r="AR172" s="236">
        <v>11.648294754249109</v>
      </c>
      <c r="AS172" s="232"/>
      <c r="AT172" s="236">
        <v>18.044747634542041</v>
      </c>
      <c r="AU172" s="232"/>
      <c r="AV172" s="267">
        <v>33.404834288750301</v>
      </c>
      <c r="AW172" s="263"/>
      <c r="AX172" s="267">
        <v>31.659907498065905</v>
      </c>
      <c r="AY172" s="263"/>
      <c r="AZ172" s="267">
        <v>28.359707209457977</v>
      </c>
      <c r="BA172" s="263"/>
      <c r="BB172" s="267">
        <v>29.96000364007925</v>
      </c>
      <c r="BC172" s="263"/>
      <c r="BD172" s="267">
        <v>31.907678742909354</v>
      </c>
      <c r="BE172" s="263"/>
      <c r="BF172" s="267">
        <v>30.732748958861766</v>
      </c>
      <c r="BG172" s="263"/>
      <c r="BH172" s="267">
        <v>25.635887491673515</v>
      </c>
      <c r="BI172" s="263"/>
      <c r="BJ172" s="267">
        <v>24.848417370395822</v>
      </c>
      <c r="BK172" s="263"/>
      <c r="BL172" s="193">
        <v>30.861314524962349</v>
      </c>
      <c r="BM172" s="189"/>
      <c r="BN172" s="193">
        <v>28.811185413754064</v>
      </c>
      <c r="BO172" s="189"/>
      <c r="BP172" s="193">
        <v>28.052336692477606</v>
      </c>
      <c r="BQ172" s="189"/>
      <c r="BR172" s="193">
        <v>30.128600100696723</v>
      </c>
      <c r="BS172" s="189"/>
      <c r="BT172" s="207">
        <v>34.284755656304263</v>
      </c>
      <c r="BU172" s="203"/>
      <c r="BV172" s="207">
        <v>33.970874607485968</v>
      </c>
      <c r="BW172" s="203"/>
      <c r="BX172" s="207">
        <v>29.058750269169561</v>
      </c>
      <c r="BY172" s="203"/>
      <c r="BZ172" s="207">
        <v>28.259889071379966</v>
      </c>
      <c r="CA172" s="203"/>
      <c r="CB172" s="207">
        <v>31.180922592823979</v>
      </c>
      <c r="CC172" s="203"/>
      <c r="CD172" s="207">
        <v>29.831650296140968</v>
      </c>
      <c r="CE172" s="203"/>
      <c r="CF172" s="207">
        <v>24.002510243672287</v>
      </c>
      <c r="CG172" s="203"/>
      <c r="CH172" s="207">
        <v>27.167663925824858</v>
      </c>
      <c r="CI172" s="203"/>
      <c r="CJ172" s="221">
        <v>27.47769225529596</v>
      </c>
      <c r="CK172" s="217"/>
      <c r="CL172" s="221">
        <v>27.359422613799129</v>
      </c>
      <c r="CM172" s="217"/>
      <c r="CN172" s="221">
        <v>31.453702166371773</v>
      </c>
      <c r="CO172" s="217"/>
      <c r="CP172" s="221">
        <v>32.063335676869833</v>
      </c>
      <c r="CQ172" s="217"/>
      <c r="CR172" s="251">
        <v>23.820524544143868</v>
      </c>
      <c r="CS172" s="247"/>
      <c r="CT172" s="251">
        <v>25.704230760637646</v>
      </c>
      <c r="CU172" s="247"/>
      <c r="CV172" s="251">
        <v>31.882186270354513</v>
      </c>
      <c r="CW172" s="247"/>
      <c r="CX172" s="251">
        <v>31.338666658552057</v>
      </c>
      <c r="CY172" s="247"/>
      <c r="CZ172" s="236">
        <v>30.200843044879743</v>
      </c>
      <c r="DA172" s="232"/>
      <c r="DB172" s="236">
        <v>29.08943496601951</v>
      </c>
      <c r="DC172" s="232"/>
      <c r="DD172" s="236">
        <v>28.754601458084355</v>
      </c>
      <c r="DE172" s="232"/>
      <c r="DF172" s="236">
        <v>29.446613302750766</v>
      </c>
      <c r="DG172" s="232"/>
      <c r="DH172" s="236">
        <v>29.664982456795315</v>
      </c>
      <c r="DI172" s="232"/>
      <c r="DJ172" s="236">
        <v>32.161720558209964</v>
      </c>
      <c r="DK172" s="232"/>
      <c r="DL172" s="267">
        <v>34.534028804804812</v>
      </c>
      <c r="DM172" s="263"/>
      <c r="DN172" s="267">
        <v>32.615191327634641</v>
      </c>
      <c r="DO172" s="263"/>
      <c r="DP172" s="267">
        <v>24.679731935691297</v>
      </c>
      <c r="DQ172" s="263"/>
      <c r="DR172" s="267">
        <v>24.059252698017684</v>
      </c>
      <c r="DS172" s="263"/>
      <c r="DT172" s="267">
        <v>23.416601250862989</v>
      </c>
      <c r="DU172" s="263"/>
      <c r="DV172" s="267">
        <v>27.686589862752342</v>
      </c>
      <c r="DW172" s="263"/>
      <c r="DX172" s="193">
        <v>33.062861838419302</v>
      </c>
      <c r="DY172" s="189"/>
      <c r="DZ172" s="193">
        <v>28.01904291480481</v>
      </c>
      <c r="EA172" s="189"/>
      <c r="EB172" s="193">
        <v>29.001319853507457</v>
      </c>
      <c r="EC172" s="189"/>
      <c r="ED172" s="193">
        <v>33.064072821684967</v>
      </c>
      <c r="EE172" s="189"/>
      <c r="EF172" s="193">
        <v>25.682160859006757</v>
      </c>
      <c r="EG172" s="189"/>
      <c r="EH172" s="193">
        <v>24.701014020852501</v>
      </c>
      <c r="EI172" s="189"/>
    </row>
    <row r="173" spans="1:139" outlineLevel="1" x14ac:dyDescent="0.2">
      <c r="A173"/>
      <c r="B173" s="7"/>
      <c r="E173" s="187"/>
      <c r="G173" s="187"/>
      <c r="I173" s="201"/>
      <c r="K173" s="201"/>
      <c r="M173" s="201"/>
      <c r="O173" s="201"/>
      <c r="Q173" s="215"/>
      <c r="S173" s="215"/>
      <c r="U173" s="215"/>
      <c r="W173" s="215"/>
      <c r="Y173" s="245"/>
      <c r="AA173" s="245"/>
      <c r="AC173" s="245"/>
      <c r="AE173" s="245"/>
      <c r="AG173" s="245"/>
      <c r="AI173" s="245"/>
      <c r="AK173" s="230"/>
      <c r="AM173" s="230"/>
      <c r="AO173" s="230"/>
      <c r="AQ173" s="230"/>
      <c r="AS173" s="230"/>
      <c r="AU173" s="230"/>
      <c r="AW173" s="261"/>
      <c r="AY173" s="261"/>
      <c r="BA173" s="261"/>
      <c r="BC173" s="261"/>
      <c r="BE173" s="261"/>
      <c r="BG173" s="261"/>
      <c r="BI173" s="261"/>
      <c r="BK173" s="261"/>
      <c r="BM173" s="187"/>
      <c r="BO173" s="187"/>
      <c r="BQ173" s="187"/>
      <c r="BS173" s="187"/>
      <c r="BU173" s="201"/>
      <c r="BW173" s="201"/>
      <c r="BY173" s="201"/>
      <c r="CA173" s="201"/>
      <c r="CC173" s="201"/>
      <c r="CE173" s="201"/>
      <c r="CG173" s="201"/>
      <c r="CI173" s="201"/>
      <c r="CK173" s="215"/>
      <c r="CM173" s="215"/>
      <c r="CO173" s="215"/>
      <c r="CQ173" s="215"/>
      <c r="CS173" s="245"/>
      <c r="CU173" s="245"/>
      <c r="CW173" s="245"/>
      <c r="CY173" s="245"/>
      <c r="DA173" s="230"/>
      <c r="DC173" s="230"/>
      <c r="DE173" s="230"/>
      <c r="DG173" s="230"/>
      <c r="DI173" s="230"/>
      <c r="DK173" s="230"/>
      <c r="DM173" s="261"/>
      <c r="DO173" s="261"/>
      <c r="DQ173" s="261"/>
      <c r="DS173" s="261"/>
      <c r="DU173" s="261"/>
      <c r="DW173" s="261"/>
      <c r="DY173" s="187"/>
      <c r="EA173" s="187"/>
      <c r="EC173" s="187"/>
      <c r="EE173" s="187"/>
      <c r="EG173" s="187"/>
      <c r="EI173" s="187"/>
    </row>
    <row r="174" spans="1:139" outlineLevel="1" x14ac:dyDescent="0.2">
      <c r="A174"/>
      <c r="B174" s="13" t="s">
        <v>151</v>
      </c>
      <c r="C174" s="12">
        <v>34.804988990218888</v>
      </c>
      <c r="D174" s="193">
        <v>34.970138237671044</v>
      </c>
      <c r="E174" s="189"/>
      <c r="F174" s="193">
        <v>34.633566873837317</v>
      </c>
      <c r="G174" s="189"/>
      <c r="H174" s="207">
        <v>31.560866417403293</v>
      </c>
      <c r="I174" s="203"/>
      <c r="J174" s="207">
        <v>27.68760160012928</v>
      </c>
      <c r="K174" s="203"/>
      <c r="L174" s="207">
        <v>40.692434838719507</v>
      </c>
      <c r="M174" s="203"/>
      <c r="N174" s="207">
        <v>45.768170030597823</v>
      </c>
      <c r="O174" s="203"/>
      <c r="P174" s="221">
        <v>30.887731858410916</v>
      </c>
      <c r="Q174" s="217"/>
      <c r="R174" s="221">
        <v>27.061002015840156</v>
      </c>
      <c r="S174" s="217"/>
      <c r="T174" s="221">
        <v>43.627832262964084</v>
      </c>
      <c r="U174" s="217"/>
      <c r="V174" s="221">
        <v>50.933771238011296</v>
      </c>
      <c r="W174" s="217"/>
      <c r="X174" s="251">
        <v>32.819787366947956</v>
      </c>
      <c r="Y174" s="247"/>
      <c r="Z174" s="251">
        <v>48.067232360982409</v>
      </c>
      <c r="AA174" s="247"/>
      <c r="AB174" s="251">
        <v>42.632351321152612</v>
      </c>
      <c r="AC174" s="247"/>
      <c r="AD174" s="251">
        <v>26.481276279239211</v>
      </c>
      <c r="AE174" s="247"/>
      <c r="AF174" s="251">
        <v>57.000262941957828</v>
      </c>
      <c r="AG174" s="247"/>
      <c r="AH174" s="251">
        <v>48.595212331757693</v>
      </c>
      <c r="AI174" s="247"/>
      <c r="AJ174" s="236">
        <v>38.775754671777676</v>
      </c>
      <c r="AK174" s="232"/>
      <c r="AL174" s="236">
        <v>49.509559287900402</v>
      </c>
      <c r="AM174" s="232"/>
      <c r="AN174" s="236">
        <v>43.373639888664535</v>
      </c>
      <c r="AO174" s="232"/>
      <c r="AP174" s="236">
        <v>36.084743837681664</v>
      </c>
      <c r="AQ174" s="232"/>
      <c r="AR174" s="236">
        <v>59.977435968765818</v>
      </c>
      <c r="AS174" s="232"/>
      <c r="AT174" s="236">
        <v>51.974254559131538</v>
      </c>
      <c r="AU174" s="232"/>
      <c r="AV174" s="267">
        <v>30.996607872623237</v>
      </c>
      <c r="AW174" s="263"/>
      <c r="AX174" s="267">
        <v>32.91989871520844</v>
      </c>
      <c r="AY174" s="263"/>
      <c r="AZ174" s="267">
        <v>34.802767065765416</v>
      </c>
      <c r="BA174" s="263"/>
      <c r="BB174" s="267">
        <v>30.875834720618972</v>
      </c>
      <c r="BC174" s="263"/>
      <c r="BD174" s="267">
        <v>32.564566676389461</v>
      </c>
      <c r="BE174" s="263"/>
      <c r="BF174" s="267">
        <v>36.281881376439145</v>
      </c>
      <c r="BG174" s="263"/>
      <c r="BH174" s="267">
        <v>41.36623133850734</v>
      </c>
      <c r="BI174" s="263"/>
      <c r="BJ174" s="267">
        <v>43.555537517077894</v>
      </c>
      <c r="BK174" s="263"/>
      <c r="BL174" s="193">
        <v>33.310495893488714</v>
      </c>
      <c r="BM174" s="189"/>
      <c r="BN174" s="193">
        <v>33.064249944970868</v>
      </c>
      <c r="BO174" s="189"/>
      <c r="BP174" s="193">
        <v>36.58051280080911</v>
      </c>
      <c r="BQ174" s="189"/>
      <c r="BR174" s="193">
        <v>36.170257160557021</v>
      </c>
      <c r="BS174" s="189"/>
      <c r="BT174" s="207">
        <v>29.168644273986704</v>
      </c>
      <c r="BU174" s="203"/>
      <c r="BV174" s="207">
        <v>35.237133941878817</v>
      </c>
      <c r="BW174" s="203"/>
      <c r="BX174" s="207">
        <v>34.748582847123622</v>
      </c>
      <c r="BY174" s="203"/>
      <c r="BZ174" s="207">
        <v>33.662384598522735</v>
      </c>
      <c r="CA174" s="203"/>
      <c r="CB174" s="207">
        <v>38.43376642419156</v>
      </c>
      <c r="CC174" s="203"/>
      <c r="CD174" s="207">
        <v>38.821276165250339</v>
      </c>
      <c r="CE174" s="203"/>
      <c r="CF174" s="207">
        <v>36.900719404687472</v>
      </c>
      <c r="CG174" s="203"/>
      <c r="CH174" s="207">
        <v>31.32157369560279</v>
      </c>
      <c r="CI174" s="203"/>
      <c r="CJ174" s="221">
        <v>34.326861181569548</v>
      </c>
      <c r="CK174" s="217"/>
      <c r="CL174" s="221">
        <v>37.296071034008918</v>
      </c>
      <c r="CM174" s="217"/>
      <c r="CN174" s="221">
        <v>35.345763780889051</v>
      </c>
      <c r="CO174" s="217"/>
      <c r="CP174" s="221">
        <v>30.660087566954278</v>
      </c>
      <c r="CQ174" s="217"/>
      <c r="CR174" s="251">
        <v>34.858012250516218</v>
      </c>
      <c r="CS174" s="247"/>
      <c r="CT174" s="251">
        <v>37.43555693331993</v>
      </c>
      <c r="CU174" s="247"/>
      <c r="CV174" s="251">
        <v>35.11569973900118</v>
      </c>
      <c r="CW174" s="247"/>
      <c r="CX174" s="251">
        <v>33.331390899367207</v>
      </c>
      <c r="CY174" s="247"/>
      <c r="CZ174" s="236">
        <v>36.984977502919676</v>
      </c>
      <c r="DA174" s="232"/>
      <c r="DB174" s="236">
        <v>37.559326495792348</v>
      </c>
      <c r="DC174" s="232"/>
      <c r="DD174" s="236">
        <v>27.309940519198566</v>
      </c>
      <c r="DE174" s="232"/>
      <c r="DF174" s="236">
        <v>25.985537734245032</v>
      </c>
      <c r="DG174" s="232"/>
      <c r="DH174" s="236">
        <v>33.814485360440692</v>
      </c>
      <c r="DI174" s="232"/>
      <c r="DJ174" s="236">
        <v>31.717955605411749</v>
      </c>
      <c r="DK174" s="232"/>
      <c r="DL174" s="267">
        <v>27.675325351466117</v>
      </c>
      <c r="DM174" s="263" t="s">
        <v>229</v>
      </c>
      <c r="DN174" s="267">
        <v>20.804916368748643</v>
      </c>
      <c r="DO174" s="263"/>
      <c r="DP174" s="267">
        <v>40.3820152744171</v>
      </c>
      <c r="DQ174" s="263"/>
      <c r="DR174" s="267">
        <v>40.866419760897422</v>
      </c>
      <c r="DS174" s="263"/>
      <c r="DT174" s="267">
        <v>41.746087744397997</v>
      </c>
      <c r="DU174" s="263"/>
      <c r="DV174" s="267">
        <v>45.563201273525564</v>
      </c>
      <c r="DW174" s="263"/>
      <c r="DX174" s="193">
        <v>31.433907294662532</v>
      </c>
      <c r="DY174" s="189"/>
      <c r="DZ174" s="193">
        <v>27.486230580734841</v>
      </c>
      <c r="EA174" s="189"/>
      <c r="EB174" s="193">
        <v>35.026012965369965</v>
      </c>
      <c r="EC174" s="189"/>
      <c r="ED174" s="193">
        <v>34.959388858565667</v>
      </c>
      <c r="EE174" s="189"/>
      <c r="EF174" s="193">
        <v>39.587591833942</v>
      </c>
      <c r="EG174" s="189"/>
      <c r="EH174" s="193">
        <v>45.127455794507028</v>
      </c>
      <c r="EI174" s="189"/>
    </row>
    <row r="175" spans="1:139" outlineLevel="1" x14ac:dyDescent="0.2">
      <c r="A175"/>
      <c r="B175" s="7"/>
      <c r="E175" s="187"/>
      <c r="G175" s="187"/>
      <c r="I175" s="201"/>
      <c r="K175" s="201"/>
      <c r="M175" s="201"/>
      <c r="O175" s="201"/>
      <c r="Q175" s="215"/>
      <c r="S175" s="215"/>
      <c r="U175" s="215"/>
      <c r="W175" s="215"/>
      <c r="Y175" s="245"/>
      <c r="AA175" s="245"/>
      <c r="AC175" s="245"/>
      <c r="AE175" s="245"/>
      <c r="AG175" s="245"/>
      <c r="AI175" s="245"/>
      <c r="AK175" s="230"/>
      <c r="AM175" s="230"/>
      <c r="AO175" s="230"/>
      <c r="AQ175" s="230"/>
      <c r="AS175" s="230"/>
      <c r="AU175" s="230"/>
      <c r="AW175" s="261"/>
      <c r="AY175" s="261"/>
      <c r="BA175" s="261"/>
      <c r="BC175" s="261"/>
      <c r="BE175" s="261"/>
      <c r="BG175" s="261"/>
      <c r="BI175" s="261"/>
      <c r="BK175" s="261"/>
      <c r="BM175" s="187"/>
      <c r="BO175" s="187"/>
      <c r="BQ175" s="187"/>
      <c r="BS175" s="187"/>
      <c r="BU175" s="201"/>
      <c r="BW175" s="201"/>
      <c r="BY175" s="201"/>
      <c r="CA175" s="201"/>
      <c r="CC175" s="201"/>
      <c r="CE175" s="201"/>
      <c r="CG175" s="201"/>
      <c r="CI175" s="201"/>
      <c r="CK175" s="215"/>
      <c r="CM175" s="215"/>
      <c r="CO175" s="215"/>
      <c r="CQ175" s="215"/>
      <c r="CS175" s="245"/>
      <c r="CU175" s="245"/>
      <c r="CW175" s="245"/>
      <c r="CY175" s="245"/>
      <c r="DA175" s="230"/>
      <c r="DC175" s="230"/>
      <c r="DE175" s="230"/>
      <c r="DG175" s="230"/>
      <c r="DI175" s="230"/>
      <c r="DK175" s="230"/>
      <c r="DM175" s="261"/>
      <c r="DO175" s="261"/>
      <c r="DQ175" s="261"/>
      <c r="DS175" s="261"/>
      <c r="DU175" s="261"/>
      <c r="DW175" s="261"/>
      <c r="DY175" s="187"/>
      <c r="EA175" s="187"/>
      <c r="EC175" s="187"/>
      <c r="EE175" s="187"/>
      <c r="EG175" s="187"/>
      <c r="EI175" s="187"/>
    </row>
    <row r="176" spans="1:139" outlineLevel="1" x14ac:dyDescent="0.2">
      <c r="A176"/>
      <c r="B176" s="7" t="s">
        <v>152</v>
      </c>
      <c r="C176" s="10">
        <v>13.959513739452612</v>
      </c>
      <c r="D176" s="192">
        <v>13.851728069914397</v>
      </c>
      <c r="E176" s="189"/>
      <c r="F176" s="192">
        <v>14.071393435381587</v>
      </c>
      <c r="G176" s="189"/>
      <c r="H176" s="206">
        <v>12.77136322667759</v>
      </c>
      <c r="I176" s="203"/>
      <c r="J176" s="206">
        <v>12.436865833733913</v>
      </c>
      <c r="K176" s="203"/>
      <c r="L176" s="206">
        <v>15.665067808210981</v>
      </c>
      <c r="M176" s="203"/>
      <c r="N176" s="206">
        <v>16.691593144989778</v>
      </c>
      <c r="O176" s="203"/>
      <c r="P176" s="220">
        <v>11.929113093144807</v>
      </c>
      <c r="Q176" s="217"/>
      <c r="R176" s="220">
        <v>11.609531638314797</v>
      </c>
      <c r="S176" s="217"/>
      <c r="T176" s="220">
        <v>17.929081143307766</v>
      </c>
      <c r="U176" s="217"/>
      <c r="V176" s="220">
        <v>19.370634995018069</v>
      </c>
      <c r="W176" s="217"/>
      <c r="X176" s="250">
        <v>10.376249869304935</v>
      </c>
      <c r="Y176" s="247"/>
      <c r="Z176" s="250">
        <v>13.898695788691731</v>
      </c>
      <c r="AA176" s="247"/>
      <c r="AB176" s="250">
        <v>24.129428103803725</v>
      </c>
      <c r="AC176" s="247"/>
      <c r="AD176" s="250">
        <v>11.736466349924356</v>
      </c>
      <c r="AE176" s="247"/>
      <c r="AF176" s="250">
        <v>20.035157153154625</v>
      </c>
      <c r="AG176" s="247"/>
      <c r="AH176" s="250">
        <v>22.414621181920005</v>
      </c>
      <c r="AI176" s="247"/>
      <c r="AJ176" s="235">
        <v>13.636235519603147</v>
      </c>
      <c r="AK176" s="232"/>
      <c r="AL176" s="235">
        <v>16.030190479134742</v>
      </c>
      <c r="AM176" s="232"/>
      <c r="AN176" s="235">
        <v>24.54934403534671</v>
      </c>
      <c r="AO176" s="232"/>
      <c r="AP176" s="235">
        <v>16.968371200039829</v>
      </c>
      <c r="AQ176" s="232"/>
      <c r="AR176" s="235">
        <v>21.54543007532935</v>
      </c>
      <c r="AS176" s="232"/>
      <c r="AT176" s="235">
        <v>23.469620772425223</v>
      </c>
      <c r="AU176" s="232"/>
      <c r="AV176" s="266">
        <v>15.732176232082098</v>
      </c>
      <c r="AW176" s="263"/>
      <c r="AX176" s="266">
        <v>17.753318300216034</v>
      </c>
      <c r="AY176" s="263"/>
      <c r="AZ176" s="266">
        <v>14.46578814383998</v>
      </c>
      <c r="BA176" s="263"/>
      <c r="BB176" s="266">
        <v>10.760539166955994</v>
      </c>
      <c r="BC176" s="263"/>
      <c r="BD176" s="266">
        <v>8.9961814726170157</v>
      </c>
      <c r="BE176" s="263"/>
      <c r="BF176" s="266">
        <v>14.379046413070693</v>
      </c>
      <c r="BG176" s="263"/>
      <c r="BH176" s="266">
        <v>14.20650286601775</v>
      </c>
      <c r="BI176" s="263"/>
      <c r="BJ176" s="266">
        <v>16.931128421955581</v>
      </c>
      <c r="BK176" s="263"/>
      <c r="BL176" s="192">
        <v>16.087381462034752</v>
      </c>
      <c r="BM176" s="189"/>
      <c r="BN176" s="192">
        <v>15.662494254703152</v>
      </c>
      <c r="BO176" s="189"/>
      <c r="BP176" s="192">
        <v>11.682441797312284</v>
      </c>
      <c r="BQ176" s="189"/>
      <c r="BR176" s="192">
        <v>12.513372152829493</v>
      </c>
      <c r="BS176" s="189"/>
      <c r="BT176" s="206">
        <v>14.927266598485886</v>
      </c>
      <c r="BU176" s="203"/>
      <c r="BV176" s="206">
        <v>11.042343738501906</v>
      </c>
      <c r="BW176" s="203"/>
      <c r="BX176" s="206">
        <v>12.238536217581048</v>
      </c>
      <c r="BY176" s="203"/>
      <c r="BZ176" s="206">
        <v>16.067189842527842</v>
      </c>
      <c r="CA176" s="203"/>
      <c r="CB176" s="206">
        <v>14.841446646705537</v>
      </c>
      <c r="CC176" s="203"/>
      <c r="CD176" s="206">
        <v>12.197605120847587</v>
      </c>
      <c r="CE176" s="203"/>
      <c r="CF176" s="206">
        <v>14.499314034689919</v>
      </c>
      <c r="CG176" s="203"/>
      <c r="CH176" s="206">
        <v>15.411003805097188</v>
      </c>
      <c r="CI176" s="203"/>
      <c r="CJ176" s="220">
        <v>14.978250484588134</v>
      </c>
      <c r="CK176" s="217"/>
      <c r="CL176" s="220">
        <v>16.142559781321832</v>
      </c>
      <c r="CM176" s="217"/>
      <c r="CN176" s="220">
        <v>13.253919677917862</v>
      </c>
      <c r="CO176" s="217"/>
      <c r="CP176" s="220">
        <v>11.760103022075933</v>
      </c>
      <c r="CQ176" s="217"/>
      <c r="CR176" s="250">
        <v>18.758315267182653</v>
      </c>
      <c r="CS176" s="247"/>
      <c r="CT176" s="250">
        <v>18.766442407587387</v>
      </c>
      <c r="CU176" s="247"/>
      <c r="CV176" s="250">
        <v>11.543959335721929</v>
      </c>
      <c r="CW176" s="247"/>
      <c r="CX176" s="250">
        <v>12.00687408615582</v>
      </c>
      <c r="CY176" s="247"/>
      <c r="CZ176" s="235">
        <v>14.067287798561752</v>
      </c>
      <c r="DA176" s="232"/>
      <c r="DB176" s="235">
        <v>13.217908240129956</v>
      </c>
      <c r="DC176" s="232"/>
      <c r="DD176" s="235">
        <v>13.73701746756293</v>
      </c>
      <c r="DE176" s="232"/>
      <c r="DF176" s="235">
        <v>17.507409494154086</v>
      </c>
      <c r="DG176" s="232"/>
      <c r="DH176" s="235">
        <v>12.599040940366438</v>
      </c>
      <c r="DI176" s="232"/>
      <c r="DJ176" s="235">
        <v>13.784061761058634</v>
      </c>
      <c r="DK176" s="232"/>
      <c r="DL176" s="266">
        <v>10.145155619309485</v>
      </c>
      <c r="DM176" s="263"/>
      <c r="DN176" s="266">
        <v>11.87359182913363</v>
      </c>
      <c r="DO176" s="263"/>
      <c r="DP176" s="266">
        <v>18.789521596650093</v>
      </c>
      <c r="DQ176" s="263"/>
      <c r="DR176" s="266">
        <v>18.058880113228284</v>
      </c>
      <c r="DS176" s="263"/>
      <c r="DT176" s="266">
        <v>17.190231760707039</v>
      </c>
      <c r="DU176" s="263"/>
      <c r="DV176" s="266">
        <v>16.388247539555728</v>
      </c>
      <c r="DW176" s="263"/>
      <c r="DX176" s="192">
        <v>10.226720950211034</v>
      </c>
      <c r="DY176" s="189"/>
      <c r="DZ176" s="192">
        <v>12.165198142838388</v>
      </c>
      <c r="EA176" s="189"/>
      <c r="EB176" s="192">
        <v>14.358068265649182</v>
      </c>
      <c r="EC176" s="189"/>
      <c r="ED176" s="192">
        <v>14.491067781666001</v>
      </c>
      <c r="EE176" s="189"/>
      <c r="EF176" s="192">
        <v>17.414628330057337</v>
      </c>
      <c r="EG176" s="189"/>
      <c r="EH176" s="192">
        <v>16.216419796051657</v>
      </c>
      <c r="EI176" s="189"/>
    </row>
    <row r="177" spans="1:139" outlineLevel="1" x14ac:dyDescent="0.2">
      <c r="A177"/>
      <c r="B177" s="11" t="s">
        <v>153</v>
      </c>
      <c r="C177" s="12">
        <v>7.5136641349196465</v>
      </c>
      <c r="D177" s="193">
        <v>7.3955280128143084</v>
      </c>
      <c r="E177" s="189"/>
      <c r="F177" s="193">
        <v>7.6362874249729433</v>
      </c>
      <c r="G177" s="189"/>
      <c r="H177" s="207">
        <v>8.3129373137028022</v>
      </c>
      <c r="I177" s="203"/>
      <c r="J177" s="207">
        <v>7.2872885313568645</v>
      </c>
      <c r="K177" s="203"/>
      <c r="L177" s="207">
        <v>5.8557012107870721</v>
      </c>
      <c r="M177" s="203"/>
      <c r="N177" s="207">
        <v>8.1957437466555074</v>
      </c>
      <c r="O177" s="203"/>
      <c r="P177" s="221">
        <v>7.8178321157312123</v>
      </c>
      <c r="Q177" s="217"/>
      <c r="R177" s="221">
        <v>6.8581951560546841</v>
      </c>
      <c r="S177" s="217"/>
      <c r="T177" s="221">
        <v>6.4999337556489944</v>
      </c>
      <c r="U177" s="217"/>
      <c r="V177" s="221">
        <v>9.3111575958315296</v>
      </c>
      <c r="W177" s="217"/>
      <c r="X177" s="251">
        <v>5.7162670450940425</v>
      </c>
      <c r="Y177" s="247"/>
      <c r="Z177" s="251">
        <v>3.6638343659296813</v>
      </c>
      <c r="AA177" s="247"/>
      <c r="AB177" s="251">
        <v>8.8461750310813159</v>
      </c>
      <c r="AC177" s="247"/>
      <c r="AD177" s="251">
        <v>5.677681810592146</v>
      </c>
      <c r="AE177" s="247"/>
      <c r="AF177" s="251">
        <v>12.245161641301834</v>
      </c>
      <c r="AG177" s="247" t="s">
        <v>109</v>
      </c>
      <c r="AH177" s="251">
        <v>8.6247318564079194</v>
      </c>
      <c r="AI177" s="247"/>
      <c r="AJ177" s="236">
        <v>7.5121903097607046</v>
      </c>
      <c r="AK177" s="232"/>
      <c r="AL177" s="236">
        <v>4.2257175538469012</v>
      </c>
      <c r="AM177" s="232"/>
      <c r="AN177" s="236">
        <v>8.3268777418863138</v>
      </c>
      <c r="AO177" s="232"/>
      <c r="AP177" s="236">
        <v>8.7292313963565196</v>
      </c>
      <c r="AQ177" s="232"/>
      <c r="AR177" s="236">
        <v>12.693297890288838</v>
      </c>
      <c r="AS177" s="232"/>
      <c r="AT177" s="236">
        <v>8.4577844413468721</v>
      </c>
      <c r="AU177" s="232"/>
      <c r="AV177" s="267">
        <v>8.9934077880677705</v>
      </c>
      <c r="AW177" s="263"/>
      <c r="AX177" s="267">
        <v>10.042800900075642</v>
      </c>
      <c r="AY177" s="263"/>
      <c r="AZ177" s="267">
        <v>6.4554630318038679</v>
      </c>
      <c r="BA177" s="263"/>
      <c r="BB177" s="267">
        <v>6.0576655815669556</v>
      </c>
      <c r="BC177" s="263"/>
      <c r="BD177" s="267">
        <v>4.2003801212818637</v>
      </c>
      <c r="BE177" s="263"/>
      <c r="BF177" s="267">
        <v>5.691424586461336</v>
      </c>
      <c r="BG177" s="263"/>
      <c r="BH177" s="267">
        <v>10.101463905343859</v>
      </c>
      <c r="BI177" s="263"/>
      <c r="BJ177" s="267">
        <v>10.002890422281371</v>
      </c>
      <c r="BK177" s="263"/>
      <c r="BL177" s="193">
        <v>9.6114617274550227</v>
      </c>
      <c r="BM177" s="189"/>
      <c r="BN177" s="193">
        <v>8.0684317326622015</v>
      </c>
      <c r="BO177" s="189"/>
      <c r="BP177" s="193">
        <v>5.2453760236424847</v>
      </c>
      <c r="BQ177" s="189"/>
      <c r="BR177" s="193">
        <v>7.2131275470208402</v>
      </c>
      <c r="BS177" s="189"/>
      <c r="BT177" s="207">
        <v>8.7266014972332595</v>
      </c>
      <c r="BU177" s="203"/>
      <c r="BV177" s="207">
        <v>4.9865619889354695</v>
      </c>
      <c r="BW177" s="203"/>
      <c r="BX177" s="207">
        <v>6.196297476823009</v>
      </c>
      <c r="BY177" s="203"/>
      <c r="BZ177" s="207">
        <v>8.2471945787532466</v>
      </c>
      <c r="CA177" s="203"/>
      <c r="CB177" s="207">
        <v>6.8921671679438106</v>
      </c>
      <c r="CC177" s="203"/>
      <c r="CD177" s="207">
        <v>7.4997240922635466</v>
      </c>
      <c r="CE177" s="203"/>
      <c r="CF177" s="207">
        <v>8.6715634741222747</v>
      </c>
      <c r="CG177" s="203"/>
      <c r="CH177" s="207">
        <v>9.0963578549106785</v>
      </c>
      <c r="CI177" s="203"/>
      <c r="CJ177" s="221">
        <v>7.4659277139303803</v>
      </c>
      <c r="CK177" s="217"/>
      <c r="CL177" s="221">
        <v>7.4951823471295853</v>
      </c>
      <c r="CM177" s="217"/>
      <c r="CN177" s="221">
        <v>7.5460198039645263</v>
      </c>
      <c r="CO177" s="217"/>
      <c r="CP177" s="221">
        <v>7.7177854055227053</v>
      </c>
      <c r="CQ177" s="217"/>
      <c r="CR177" s="251">
        <v>8.1849882225071884</v>
      </c>
      <c r="CS177" s="247"/>
      <c r="CT177" s="251">
        <v>10.122378989465689</v>
      </c>
      <c r="CU177" s="247"/>
      <c r="CV177" s="251">
        <v>6.8027290565042406</v>
      </c>
      <c r="CW177" s="247"/>
      <c r="CX177" s="251">
        <v>6.6091341055395878</v>
      </c>
      <c r="CY177" s="247"/>
      <c r="CZ177" s="236">
        <v>7.5256150566799747</v>
      </c>
      <c r="DA177" s="232"/>
      <c r="DB177" s="236">
        <v>7.0350089803284988</v>
      </c>
      <c r="DC177" s="232"/>
      <c r="DD177" s="236">
        <v>7.4018498289541714</v>
      </c>
      <c r="DE177" s="232"/>
      <c r="DF177" s="236">
        <v>8.9716722286491546</v>
      </c>
      <c r="DG177" s="232"/>
      <c r="DH177" s="236">
        <v>6.043822345302801</v>
      </c>
      <c r="DI177" s="232"/>
      <c r="DJ177" s="236">
        <v>7.6770571362164253</v>
      </c>
      <c r="DK177" s="232"/>
      <c r="DL177" s="267">
        <v>7.762743462362927</v>
      </c>
      <c r="DM177" s="263"/>
      <c r="DN177" s="267">
        <v>7.278790946789174</v>
      </c>
      <c r="DO177" s="263"/>
      <c r="DP177" s="267">
        <v>8.4118501832489958</v>
      </c>
      <c r="DQ177" s="263"/>
      <c r="DR177" s="267">
        <v>8.4069032072364251</v>
      </c>
      <c r="DS177" s="263"/>
      <c r="DT177" s="267">
        <v>7.4685537661494585</v>
      </c>
      <c r="DU177" s="263"/>
      <c r="DV177" s="267">
        <v>8.8640677370232925</v>
      </c>
      <c r="DW177" s="263"/>
      <c r="DX177" s="193">
        <v>5.3594666268255331</v>
      </c>
      <c r="DY177" s="189"/>
      <c r="DZ177" s="193">
        <v>6.8972724966312864</v>
      </c>
      <c r="EA177" s="189"/>
      <c r="EB177" s="193">
        <v>8.312297645302591</v>
      </c>
      <c r="EC177" s="189"/>
      <c r="ED177" s="193">
        <v>8.7919414059873979</v>
      </c>
      <c r="EE177" s="189"/>
      <c r="EF177" s="193">
        <v>7.7484377601951211</v>
      </c>
      <c r="EG177" s="189"/>
      <c r="EH177" s="193">
        <v>6.5173842361948706</v>
      </c>
      <c r="EI177" s="189"/>
    </row>
    <row r="178" spans="1:139" outlineLevel="1" x14ac:dyDescent="0.2">
      <c r="A178"/>
      <c r="B178" s="11" t="s">
        <v>154</v>
      </c>
      <c r="C178" s="12">
        <v>6.4458496045329667</v>
      </c>
      <c r="D178" s="193">
        <v>6.456200057100089</v>
      </c>
      <c r="E178" s="189"/>
      <c r="F178" s="193">
        <v>6.4351060104086439</v>
      </c>
      <c r="G178" s="189"/>
      <c r="H178" s="207">
        <v>4.4584259129747856</v>
      </c>
      <c r="I178" s="203"/>
      <c r="J178" s="207">
        <v>5.1495773023770495</v>
      </c>
      <c r="K178" s="203"/>
      <c r="L178" s="207">
        <v>9.8093665974239084</v>
      </c>
      <c r="M178" s="203"/>
      <c r="N178" s="207">
        <v>8.4958493983342702</v>
      </c>
      <c r="O178" s="203"/>
      <c r="P178" s="221">
        <v>4.1112809774135934</v>
      </c>
      <c r="Q178" s="217"/>
      <c r="R178" s="221">
        <v>4.7513364822601121</v>
      </c>
      <c r="S178" s="217"/>
      <c r="T178" s="221">
        <v>11.429147387658773</v>
      </c>
      <c r="U178" s="217"/>
      <c r="V178" s="221">
        <v>10.059477399186539</v>
      </c>
      <c r="W178" s="217"/>
      <c r="X178" s="251">
        <v>4.6599828242108918</v>
      </c>
      <c r="Y178" s="247"/>
      <c r="Z178" s="251">
        <v>10.234861422762048</v>
      </c>
      <c r="AA178" s="247"/>
      <c r="AB178" s="251">
        <v>15.28325307272241</v>
      </c>
      <c r="AC178" s="247"/>
      <c r="AD178" s="251">
        <v>6.0587845393322102</v>
      </c>
      <c r="AE178" s="247"/>
      <c r="AF178" s="251">
        <v>7.7899955118527888</v>
      </c>
      <c r="AG178" s="247"/>
      <c r="AH178" s="251">
        <v>13.789889325512084</v>
      </c>
      <c r="AI178" s="247"/>
      <c r="AJ178" s="236">
        <v>6.1240452098424427</v>
      </c>
      <c r="AK178" s="232"/>
      <c r="AL178" s="236">
        <v>11.804472925287838</v>
      </c>
      <c r="AM178" s="232"/>
      <c r="AN178" s="236">
        <v>16.2224662934604</v>
      </c>
      <c r="AO178" s="232"/>
      <c r="AP178" s="236">
        <v>8.2391398036833099</v>
      </c>
      <c r="AQ178" s="232"/>
      <c r="AR178" s="236">
        <v>8.8521321850405119</v>
      </c>
      <c r="AS178" s="232"/>
      <c r="AT178" s="236">
        <v>15.011836331078351</v>
      </c>
      <c r="AU178" s="232"/>
      <c r="AV178" s="267">
        <v>6.7387684440143278</v>
      </c>
      <c r="AW178" s="263"/>
      <c r="AX178" s="267">
        <v>7.7105174001403913</v>
      </c>
      <c r="AY178" s="263"/>
      <c r="AZ178" s="267">
        <v>8.0103251120361119</v>
      </c>
      <c r="BA178" s="263"/>
      <c r="BB178" s="267">
        <v>4.702873585389038</v>
      </c>
      <c r="BC178" s="263"/>
      <c r="BD178" s="267">
        <v>4.795801351335153</v>
      </c>
      <c r="BE178" s="263"/>
      <c r="BF178" s="267">
        <v>8.687621826609357</v>
      </c>
      <c r="BG178" s="263"/>
      <c r="BH178" s="267">
        <v>4.1050389606738893</v>
      </c>
      <c r="BI178" s="263"/>
      <c r="BJ178" s="267">
        <v>6.9282379996742103</v>
      </c>
      <c r="BK178" s="263"/>
      <c r="BL178" s="193">
        <v>6.475919734579727</v>
      </c>
      <c r="BM178" s="189"/>
      <c r="BN178" s="193">
        <v>7.594062522040951</v>
      </c>
      <c r="BO178" s="189"/>
      <c r="BP178" s="193">
        <v>6.4370657736698007</v>
      </c>
      <c r="BQ178" s="189"/>
      <c r="BR178" s="193">
        <v>5.3002446058086532</v>
      </c>
      <c r="BS178" s="189"/>
      <c r="BT178" s="207">
        <v>6.2006651012526266</v>
      </c>
      <c r="BU178" s="203"/>
      <c r="BV178" s="207">
        <v>6.0557817495664361</v>
      </c>
      <c r="BW178" s="203"/>
      <c r="BX178" s="207">
        <v>6.0422387407580382</v>
      </c>
      <c r="BY178" s="203"/>
      <c r="BZ178" s="207">
        <v>7.8199952637745964</v>
      </c>
      <c r="CA178" s="203"/>
      <c r="CB178" s="207">
        <v>7.9492794787617269</v>
      </c>
      <c r="CC178" s="203"/>
      <c r="CD178" s="207">
        <v>4.6978810285840416</v>
      </c>
      <c r="CE178" s="203"/>
      <c r="CF178" s="207">
        <v>5.8277505605676447</v>
      </c>
      <c r="CG178" s="203"/>
      <c r="CH178" s="207">
        <v>6.3146459501865086</v>
      </c>
      <c r="CI178" s="203"/>
      <c r="CJ178" s="221">
        <v>7.5123227706577538</v>
      </c>
      <c r="CK178" s="217"/>
      <c r="CL178" s="221">
        <v>8.6473774341922489</v>
      </c>
      <c r="CM178" s="217"/>
      <c r="CN178" s="221">
        <v>5.7078998739533366</v>
      </c>
      <c r="CO178" s="217"/>
      <c r="CP178" s="221">
        <v>4.0423176165532269</v>
      </c>
      <c r="CQ178" s="217"/>
      <c r="CR178" s="251">
        <v>10.573327044675464</v>
      </c>
      <c r="CS178" s="247"/>
      <c r="CT178" s="251">
        <v>8.6440634181216982</v>
      </c>
      <c r="CU178" s="247"/>
      <c r="CV178" s="251">
        <v>4.7412302792176888</v>
      </c>
      <c r="CW178" s="247"/>
      <c r="CX178" s="251">
        <v>5.3977399806162332</v>
      </c>
      <c r="CY178" s="247"/>
      <c r="CZ178" s="236">
        <v>6.5416727418817775</v>
      </c>
      <c r="DA178" s="232"/>
      <c r="DB178" s="236">
        <v>6.1828992598014585</v>
      </c>
      <c r="DC178" s="232"/>
      <c r="DD178" s="236">
        <v>6.335167638608759</v>
      </c>
      <c r="DE178" s="232"/>
      <c r="DF178" s="236">
        <v>8.5357372655049293</v>
      </c>
      <c r="DG178" s="232"/>
      <c r="DH178" s="236">
        <v>6.5552185950636357</v>
      </c>
      <c r="DI178" s="232"/>
      <c r="DJ178" s="236">
        <v>6.107004624842209</v>
      </c>
      <c r="DK178" s="232"/>
      <c r="DL178" s="267">
        <v>2.3824121569465566</v>
      </c>
      <c r="DM178" s="263"/>
      <c r="DN178" s="267">
        <v>4.5948008823444555</v>
      </c>
      <c r="DO178" s="263"/>
      <c r="DP178" s="267">
        <v>10.377671413401096</v>
      </c>
      <c r="DQ178" s="263"/>
      <c r="DR178" s="267">
        <v>9.6519769059918588</v>
      </c>
      <c r="DS178" s="263"/>
      <c r="DT178" s="267">
        <v>9.7216779945575791</v>
      </c>
      <c r="DU178" s="263"/>
      <c r="DV178" s="267">
        <v>7.5241798025324362</v>
      </c>
      <c r="DW178" s="263"/>
      <c r="DX178" s="193">
        <v>4.8672543233855006</v>
      </c>
      <c r="DY178" s="189"/>
      <c r="DZ178" s="193">
        <v>5.267925646207102</v>
      </c>
      <c r="EA178" s="189"/>
      <c r="EB178" s="193">
        <v>6.0457706203465902</v>
      </c>
      <c r="EC178" s="189"/>
      <c r="ED178" s="193">
        <v>5.6991263756786017</v>
      </c>
      <c r="EE178" s="189"/>
      <c r="EF178" s="193">
        <v>9.6661905698622164</v>
      </c>
      <c r="EG178" s="189"/>
      <c r="EH178" s="193">
        <v>9.699035559856787</v>
      </c>
      <c r="EI178" s="189"/>
    </row>
    <row r="179" spans="1:139" outlineLevel="1" x14ac:dyDescent="0.2">
      <c r="A179"/>
      <c r="B179"/>
      <c r="E179" s="187"/>
      <c r="G179" s="187"/>
      <c r="I179" s="201"/>
      <c r="K179" s="201"/>
      <c r="M179" s="201"/>
      <c r="O179" s="201"/>
      <c r="Q179" s="215"/>
      <c r="S179" s="215"/>
      <c r="U179" s="215"/>
      <c r="W179" s="215"/>
      <c r="Y179" s="245"/>
      <c r="AA179" s="245"/>
      <c r="AC179" s="245"/>
      <c r="AE179" s="245"/>
      <c r="AG179" s="245"/>
      <c r="AI179" s="245"/>
      <c r="AK179" s="230"/>
      <c r="AM179" s="230"/>
      <c r="AO179" s="230"/>
      <c r="AQ179" s="230"/>
      <c r="AS179" s="230"/>
      <c r="AU179" s="230"/>
      <c r="AW179" s="261"/>
      <c r="AY179" s="261"/>
      <c r="BA179" s="261"/>
      <c r="BC179" s="261"/>
      <c r="BE179" s="261"/>
      <c r="BG179" s="261"/>
      <c r="BI179" s="261"/>
      <c r="BK179" s="261"/>
      <c r="BM179" s="187"/>
      <c r="BO179" s="187"/>
      <c r="BQ179" s="187"/>
      <c r="BS179" s="187"/>
      <c r="BU179" s="201"/>
      <c r="BW179" s="201"/>
      <c r="BY179" s="201"/>
      <c r="CA179" s="201"/>
      <c r="CC179" s="201"/>
      <c r="CE179" s="201"/>
      <c r="CG179" s="201"/>
      <c r="CI179" s="201"/>
      <c r="CK179" s="215"/>
      <c r="CM179" s="215"/>
      <c r="CO179" s="215"/>
      <c r="CQ179" s="215"/>
      <c r="CS179" s="245"/>
      <c r="CU179" s="245"/>
      <c r="CW179" s="245"/>
      <c r="CY179" s="245"/>
      <c r="DA179" s="230"/>
      <c r="DC179" s="230"/>
      <c r="DE179" s="230"/>
      <c r="DG179" s="230"/>
      <c r="DI179" s="230"/>
      <c r="DK179" s="230"/>
      <c r="DM179" s="261"/>
      <c r="DO179" s="261"/>
      <c r="DQ179" s="261"/>
      <c r="DS179" s="261"/>
      <c r="DU179" s="261"/>
      <c r="DW179" s="261"/>
      <c r="DY179" s="187"/>
      <c r="EA179" s="187"/>
      <c r="EC179" s="187"/>
      <c r="EE179" s="187"/>
      <c r="EG179" s="187"/>
      <c r="EI179" s="187"/>
    </row>
    <row r="180" spans="1:139" x14ac:dyDescent="0.2">
      <c r="A180"/>
      <c r="B180"/>
      <c r="E180" s="187"/>
      <c r="G180" s="187"/>
      <c r="I180" s="201"/>
      <c r="K180" s="201"/>
      <c r="M180" s="201"/>
      <c r="O180" s="201"/>
      <c r="Q180" s="215"/>
      <c r="S180" s="215"/>
      <c r="U180" s="215"/>
      <c r="W180" s="215"/>
      <c r="Y180" s="245"/>
      <c r="AA180" s="245"/>
      <c r="AC180" s="245"/>
      <c r="AE180" s="245"/>
      <c r="AG180" s="245"/>
      <c r="AI180" s="245"/>
      <c r="AK180" s="230"/>
      <c r="AM180" s="230"/>
      <c r="AO180" s="230"/>
      <c r="AQ180" s="230"/>
      <c r="AS180" s="230"/>
      <c r="AU180" s="230"/>
      <c r="AW180" s="261"/>
      <c r="AY180" s="261"/>
      <c r="BA180" s="261"/>
      <c r="BC180" s="261"/>
      <c r="BE180" s="261"/>
      <c r="BG180" s="261"/>
      <c r="BI180" s="261"/>
      <c r="BK180" s="261"/>
      <c r="BM180" s="187"/>
      <c r="BO180" s="187"/>
      <c r="BQ180" s="187"/>
      <c r="BS180" s="187"/>
      <c r="BU180" s="201"/>
      <c r="BW180" s="201"/>
      <c r="BY180" s="201"/>
      <c r="CA180" s="201"/>
      <c r="CC180" s="201"/>
      <c r="CE180" s="201"/>
      <c r="CG180" s="201"/>
      <c r="CI180" s="201"/>
      <c r="CK180" s="215"/>
      <c r="CM180" s="215"/>
      <c r="CO180" s="215"/>
      <c r="CQ180" s="215"/>
      <c r="CS180" s="245"/>
      <c r="CU180" s="245"/>
      <c r="CW180" s="245"/>
      <c r="CY180" s="245"/>
      <c r="DA180" s="230"/>
      <c r="DC180" s="230"/>
      <c r="DE180" s="230"/>
      <c r="DG180" s="230"/>
      <c r="DI180" s="230"/>
      <c r="DK180" s="230"/>
      <c r="DM180" s="261"/>
      <c r="DO180" s="261"/>
      <c r="DQ180" s="261"/>
      <c r="DS180" s="261"/>
      <c r="DU180" s="261"/>
      <c r="DW180" s="261"/>
      <c r="DY180" s="187"/>
      <c r="EA180" s="187"/>
      <c r="EC180" s="187"/>
      <c r="EE180" s="187"/>
      <c r="EG180" s="187"/>
      <c r="EI180" s="187"/>
    </row>
    <row r="181" spans="1:139" x14ac:dyDescent="0.2">
      <c r="A181" s="6" t="s">
        <v>159</v>
      </c>
      <c r="B181" s="7" t="s">
        <v>160</v>
      </c>
      <c r="E181" s="187"/>
      <c r="G181" s="187"/>
      <c r="I181" s="201"/>
      <c r="K181" s="201"/>
      <c r="M181" s="201"/>
      <c r="O181" s="201"/>
      <c r="Q181" s="215"/>
      <c r="S181" s="215"/>
      <c r="U181" s="215"/>
      <c r="W181" s="215"/>
      <c r="Y181" s="245"/>
      <c r="AA181" s="245"/>
      <c r="AC181" s="245"/>
      <c r="AE181" s="245"/>
      <c r="AG181" s="245"/>
      <c r="AI181" s="245"/>
      <c r="AK181" s="230"/>
      <c r="AM181" s="230"/>
      <c r="AO181" s="230"/>
      <c r="AQ181" s="230"/>
      <c r="AS181" s="230"/>
      <c r="AU181" s="230"/>
      <c r="AW181" s="261"/>
      <c r="AY181" s="261"/>
      <c r="BA181" s="261"/>
      <c r="BC181" s="261"/>
      <c r="BE181" s="261"/>
      <c r="BG181" s="261"/>
      <c r="BI181" s="261"/>
      <c r="BK181" s="261"/>
      <c r="BM181" s="187"/>
      <c r="BO181" s="187"/>
      <c r="BQ181" s="187"/>
      <c r="BS181" s="187"/>
      <c r="BU181" s="201"/>
      <c r="BW181" s="201"/>
      <c r="BY181" s="201"/>
      <c r="CA181" s="201"/>
      <c r="CC181" s="201"/>
      <c r="CE181" s="201"/>
      <c r="CG181" s="201"/>
      <c r="CI181" s="201"/>
      <c r="CK181" s="215"/>
      <c r="CM181" s="215"/>
      <c r="CO181" s="215"/>
      <c r="CQ181" s="215"/>
      <c r="CS181" s="245"/>
      <c r="CU181" s="245"/>
      <c r="CW181" s="245"/>
      <c r="CY181" s="245"/>
      <c r="DA181" s="230"/>
      <c r="DC181" s="230"/>
      <c r="DE181" s="230"/>
      <c r="DG181" s="230"/>
      <c r="DI181" s="230"/>
      <c r="DK181" s="230"/>
      <c r="DM181" s="261"/>
      <c r="DO181" s="261"/>
      <c r="DQ181" s="261"/>
      <c r="DS181" s="261"/>
      <c r="DU181" s="261"/>
      <c r="DW181" s="261"/>
      <c r="DY181" s="187"/>
      <c r="EA181" s="187"/>
      <c r="EC181" s="187"/>
      <c r="EE181" s="187"/>
      <c r="EG181" s="187"/>
      <c r="EI181" s="187"/>
    </row>
    <row r="182" spans="1:139" outlineLevel="1" x14ac:dyDescent="0.2">
      <c r="A182"/>
      <c r="B182" s="9" t="s">
        <v>63</v>
      </c>
      <c r="C182" s="8">
        <f>697.229271339924+34.7707286600755</f>
        <v>731.99999999999955</v>
      </c>
      <c r="D182" s="188">
        <f>352.928444129701+12.0715558702993</f>
        <v>365.00000000000028</v>
      </c>
      <c r="E182" s="189"/>
      <c r="F182" s="188">
        <f>344.344915978557+22.6550840214431</f>
        <v>367.00000000000011</v>
      </c>
      <c r="G182" s="189"/>
      <c r="H182" s="202">
        <f>0+0</f>
        <v>0</v>
      </c>
      <c r="I182" s="203"/>
      <c r="J182" s="202">
        <f>0+0</f>
        <v>0</v>
      </c>
      <c r="K182" s="203"/>
      <c r="L182" s="202">
        <f>352.928444129701+12.0715558702993</f>
        <v>365.00000000000028</v>
      </c>
      <c r="M182" s="203"/>
      <c r="N182" s="202">
        <f>344.344915978557+22.6550840214431</f>
        <v>367.00000000000011</v>
      </c>
      <c r="O182" s="203"/>
      <c r="P182" s="216">
        <f>51.2287166666667+1.77128333333333</f>
        <v>53.000000000000028</v>
      </c>
      <c r="Q182" s="217"/>
      <c r="R182" s="216">
        <f>57.3559380528055+4.64406194719454</f>
        <v>62.000000000000043</v>
      </c>
      <c r="S182" s="217"/>
      <c r="T182" s="216">
        <f>301.732918900987+10.2670810990132</f>
        <v>312.00000000000017</v>
      </c>
      <c r="U182" s="217"/>
      <c r="V182" s="216">
        <f>287.140440951688+17.8595590483123</f>
        <v>305.00000000000028</v>
      </c>
      <c r="W182" s="217"/>
      <c r="X182" s="246">
        <f>108.171904333963+4.82809566603692</f>
        <v>112.99999999999991</v>
      </c>
      <c r="Y182" s="247"/>
      <c r="Z182" s="246">
        <f>100.435584999034+3.56441500096641</f>
        <v>104.00000000000041</v>
      </c>
      <c r="AA182" s="247"/>
      <c r="AB182" s="246">
        <f>97.1245187341028+1.87548126589725</f>
        <v>99.000000000000043</v>
      </c>
      <c r="AC182" s="247"/>
      <c r="AD182" s="246">
        <f>89.7922517565178+7.20774824348219</f>
        <v>96.999999999999986</v>
      </c>
      <c r="AE182" s="247"/>
      <c r="AF182" s="246">
        <f>83.2058580005259+5.79414199947415</f>
        <v>89.000000000000043</v>
      </c>
      <c r="AG182" s="247"/>
      <c r="AH182" s="246">
        <f>105.139139086837+4.86086091316319</f>
        <v>110.0000000000002</v>
      </c>
      <c r="AI182" s="247"/>
      <c r="AJ182" s="231">
        <f>81.347414494191+3.65258550580896</f>
        <v>84.999999999999957</v>
      </c>
      <c r="AK182" s="232"/>
      <c r="AL182" s="231">
        <f>86.7773955885698+3.22260441143024</f>
        <v>90.000000000000043</v>
      </c>
      <c r="AM182" s="232"/>
      <c r="AN182" s="231">
        <f>91.2486792832434+1.75132071675662</f>
        <v>93.000000000000028</v>
      </c>
      <c r="AO182" s="232"/>
      <c r="AP182" s="231">
        <f>61.5558959595598+3.44410404044016</f>
        <v>64.999999999999957</v>
      </c>
      <c r="AQ182" s="232"/>
      <c r="AR182" s="231">
        <f>72.5600476663241+5.43995233367595</f>
        <v>78.000000000000043</v>
      </c>
      <c r="AS182" s="232"/>
      <c r="AT182" s="231">
        <f>96.2370441283936+4.76295587160638</f>
        <v>100.99999999999999</v>
      </c>
      <c r="AU182" s="232"/>
      <c r="AV182" s="262">
        <f>98.2175316697926+3.78246833020738</f>
        <v>101.99999999999999</v>
      </c>
      <c r="AW182" s="263"/>
      <c r="AX182" s="262">
        <f>111.212121090461+3.78787890953862</f>
        <v>114.99999999999962</v>
      </c>
      <c r="AY182" s="263"/>
      <c r="AZ182" s="262">
        <f>182.625386094129+5.37461390587058</f>
        <v>187.99999999999957</v>
      </c>
      <c r="BA182" s="263"/>
      <c r="BB182" s="262">
        <f>143.59437549496+11.40562450504</f>
        <v>155</v>
      </c>
      <c r="BC182" s="263"/>
      <c r="BD182" s="262">
        <f>55.0827909055902+1.91720909440984</f>
        <v>57.000000000000043</v>
      </c>
      <c r="BE182" s="263"/>
      <c r="BF182" s="262">
        <f>59.9466521560026+2.05334784399742</f>
        <v>62.000000000000021</v>
      </c>
      <c r="BG182" s="263"/>
      <c r="BH182" s="262">
        <f>17.5618602154537+0.438139784546276</f>
        <v>17.999999999999975</v>
      </c>
      <c r="BI182" s="263"/>
      <c r="BJ182" s="262">
        <f>34.1214868355246+0.878513164475386</f>
        <v>34.999999999999986</v>
      </c>
      <c r="BK182" s="263"/>
      <c r="BL182" s="188">
        <f>145.963130282248+5.03686971775213</f>
        <v>151.00000000000011</v>
      </c>
      <c r="BM182" s="189"/>
      <c r="BN182" s="188">
        <f>139.732424098933+6.26757590106735</f>
        <v>146.00000000000034</v>
      </c>
      <c r="BO182" s="189"/>
      <c r="BP182" s="188">
        <f>207.320535567104+6.67946443289588</f>
        <v>213.99999999999989</v>
      </c>
      <c r="BQ182" s="189"/>
      <c r="BR182" s="188">
        <f>204.620555649693+16.3794443503072</f>
        <v>221.0000000000002</v>
      </c>
      <c r="BS182" s="189"/>
      <c r="BT182" s="202">
        <f>57.0726180104669+1.92738198953312</f>
        <v>59.000000000000014</v>
      </c>
      <c r="BU182" s="203"/>
      <c r="BV182" s="202">
        <f>57.2321873773515+1.76781262264853</f>
        <v>59.000000000000028</v>
      </c>
      <c r="BW182" s="203"/>
      <c r="BX182" s="202">
        <f>158.934215900058+5.06578409994151</f>
        <v>163.99999999999952</v>
      </c>
      <c r="BY182" s="203"/>
      <c r="BZ182" s="202">
        <f>162.542313829788+2.4576861702119</f>
        <v>164.99999999999989</v>
      </c>
      <c r="CA182" s="203"/>
      <c r="CB182" s="202">
        <f>84.899031226348+2.10096877365201</f>
        <v>87.000000000000014</v>
      </c>
      <c r="CC182" s="203"/>
      <c r="CD182" s="202">
        <f>69.2642492563552+2.73575074364484</f>
        <v>72.000000000000043</v>
      </c>
      <c r="CE182" s="203"/>
      <c r="CF182" s="202">
        <f>52.9587192079324+2.0412807920676</f>
        <v>55</v>
      </c>
      <c r="CG182" s="203"/>
      <c r="CH182" s="202">
        <f>64.5599145867224+6.44008541327759</f>
        <v>70.999999999999986</v>
      </c>
      <c r="CI182" s="203"/>
      <c r="CJ182" s="216">
        <f>216.997200855537+7.00279914446281</f>
        <v>223.9999999999998</v>
      </c>
      <c r="CK182" s="217"/>
      <c r="CL182" s="216">
        <f>220.569122335491+12.4308776645093</f>
        <v>233.00000000000028</v>
      </c>
      <c r="CM182" s="217"/>
      <c r="CN182" s="216">
        <f>118.765198290158+4.23480170984192</f>
        <v>122.99999999999991</v>
      </c>
      <c r="CO182" s="217"/>
      <c r="CP182" s="216">
        <f>106.248987327734+8.75101267226572</f>
        <v>114.99999999999972</v>
      </c>
      <c r="CQ182" s="217"/>
      <c r="CR182" s="246">
        <f>147.7075118435+4.29248815650027</f>
        <v>152.00000000000026</v>
      </c>
      <c r="CS182" s="247"/>
      <c r="CT182" s="246">
        <f>158.540933933221+5.45906606677949</f>
        <v>164.00000000000048</v>
      </c>
      <c r="CU182" s="247"/>
      <c r="CV182" s="246">
        <f>204.364384571867+7.63561542813255</f>
        <v>211.99999999999955</v>
      </c>
      <c r="CW182" s="247"/>
      <c r="CX182" s="246">
        <f>183.71663875021+15.2833612497903</f>
        <v>199.00000000000028</v>
      </c>
      <c r="CY182" s="247"/>
      <c r="CZ182" s="231">
        <f>239.89183113749+6.10816886250979</f>
        <v>245.99999999999977</v>
      </c>
      <c r="DA182" s="232"/>
      <c r="DB182" s="231">
        <f>246.611950994608+14.3880490053925</f>
        <v>261.00000000000051</v>
      </c>
      <c r="DC182" s="232"/>
      <c r="DD182" s="231">
        <f>73.1545411997509+3.84545880024913</f>
        <v>77.000000000000028</v>
      </c>
      <c r="DE182" s="232"/>
      <c r="DF182" s="231">
        <f>57.7111736354604+5.28882636453959</f>
        <v>62.999999999999986</v>
      </c>
      <c r="DG182" s="232"/>
      <c r="DH182" s="231">
        <f>59.2561345968836+4.74386540311635</f>
        <v>63.99999999999995</v>
      </c>
      <c r="DI182" s="232"/>
      <c r="DJ182" s="231">
        <f>43.9236974827362+3.07630251726383</f>
        <v>47.000000000000028</v>
      </c>
      <c r="DK182" s="232"/>
      <c r="DL182" s="262">
        <f>108.171904333963+4.82809566603692</f>
        <v>112.99999999999991</v>
      </c>
      <c r="DM182" s="263"/>
      <c r="DN182" s="262">
        <f>89.7922517565178+7.20774824348219</f>
        <v>96.999999999999986</v>
      </c>
      <c r="DO182" s="263"/>
      <c r="DP182" s="262">
        <f>97.1245187341028+1.87548126589725</f>
        <v>99.000000000000043</v>
      </c>
      <c r="DQ182" s="263"/>
      <c r="DR182" s="262">
        <f>105.139139086837+4.86086091316319</f>
        <v>110.0000000000002</v>
      </c>
      <c r="DS182" s="263"/>
      <c r="DT182" s="262">
        <f>100.435584999034+3.56441500096641</f>
        <v>104.00000000000041</v>
      </c>
      <c r="DU182" s="263"/>
      <c r="DV182" s="262">
        <f>83.2058580005259+5.79414199947415</f>
        <v>89.000000000000043</v>
      </c>
      <c r="DW182" s="263"/>
      <c r="DX182" s="188">
        <f>94.5860827725069+4.41391722749312</f>
        <v>99.000000000000014</v>
      </c>
      <c r="DY182" s="189"/>
      <c r="DZ182" s="188">
        <f>95.3832668771317+6.61673312286825</f>
        <v>101.99999999999996</v>
      </c>
      <c r="EA182" s="189"/>
      <c r="EB182" s="188">
        <f>156.872763979102+5.12723602089835</f>
        <v>162.00000000000034</v>
      </c>
      <c r="EC182" s="189"/>
      <c r="ED182" s="188">
        <f>144.654993442741+9.34500655725901</f>
        <v>154</v>
      </c>
      <c r="EE182" s="189"/>
      <c r="EF182" s="188">
        <f>101.52414043422+2.47585956577981</f>
        <v>103.99999999999982</v>
      </c>
      <c r="EG182" s="189"/>
      <c r="EH182" s="188">
        <f>104.388665716211+6.61133428378928</f>
        <v>111.00000000000027</v>
      </c>
      <c r="EI182" s="189"/>
    </row>
    <row r="183" spans="1:139" s="18" customFormat="1" outlineLevel="1" x14ac:dyDescent="0.2">
      <c r="A183"/>
      <c r="B183" s="16"/>
      <c r="C183" s="17" t="s">
        <v>167</v>
      </c>
      <c r="D183" s="190" t="s">
        <v>167</v>
      </c>
      <c r="E183" s="191"/>
      <c r="F183" s="190" t="s">
        <v>167</v>
      </c>
      <c r="G183" s="191"/>
      <c r="H183" s="204" t="s">
        <v>167</v>
      </c>
      <c r="I183" s="205"/>
      <c r="J183" s="204" t="s">
        <v>167</v>
      </c>
      <c r="K183" s="205"/>
      <c r="L183" s="204" t="s">
        <v>167</v>
      </c>
      <c r="M183" s="205"/>
      <c r="N183" s="204" t="s">
        <v>167</v>
      </c>
      <c r="O183" s="205"/>
      <c r="P183" s="218" t="s">
        <v>167</v>
      </c>
      <c r="Q183" s="219"/>
      <c r="R183" s="218" t="s">
        <v>167</v>
      </c>
      <c r="S183" s="219"/>
      <c r="T183" s="218" t="s">
        <v>167</v>
      </c>
      <c r="U183" s="219"/>
      <c r="V183" s="218" t="s">
        <v>167</v>
      </c>
      <c r="W183" s="219"/>
      <c r="X183" s="248" t="s">
        <v>167</v>
      </c>
      <c r="Y183" s="249"/>
      <c r="Z183" s="248" t="s">
        <v>167</v>
      </c>
      <c r="AA183" s="249"/>
      <c r="AB183" s="248" t="s">
        <v>167</v>
      </c>
      <c r="AC183" s="249"/>
      <c r="AD183" s="248" t="s">
        <v>167</v>
      </c>
      <c r="AE183" s="249"/>
      <c r="AF183" s="248" t="s">
        <v>167</v>
      </c>
      <c r="AG183" s="249"/>
      <c r="AH183" s="248" t="s">
        <v>167</v>
      </c>
      <c r="AI183" s="249"/>
      <c r="AJ183" s="233" t="s">
        <v>167</v>
      </c>
      <c r="AK183" s="234"/>
      <c r="AL183" s="233" t="s">
        <v>167</v>
      </c>
      <c r="AM183" s="234"/>
      <c r="AN183" s="233" t="s">
        <v>167</v>
      </c>
      <c r="AO183" s="234"/>
      <c r="AP183" s="233" t="s">
        <v>167</v>
      </c>
      <c r="AQ183" s="234"/>
      <c r="AR183" s="233" t="s">
        <v>167</v>
      </c>
      <c r="AS183" s="234"/>
      <c r="AT183" s="233" t="s">
        <v>167</v>
      </c>
      <c r="AU183" s="234"/>
      <c r="AV183" s="264" t="s">
        <v>167</v>
      </c>
      <c r="AW183" s="265"/>
      <c r="AX183" s="264" t="s">
        <v>167</v>
      </c>
      <c r="AY183" s="265"/>
      <c r="AZ183" s="264" t="s">
        <v>167</v>
      </c>
      <c r="BA183" s="265"/>
      <c r="BB183" s="264" t="s">
        <v>167</v>
      </c>
      <c r="BC183" s="265"/>
      <c r="BD183" s="264" t="s">
        <v>167</v>
      </c>
      <c r="BE183" s="265"/>
      <c r="BF183" s="264" t="s">
        <v>167</v>
      </c>
      <c r="BG183" s="265"/>
      <c r="BH183" s="264" t="s">
        <v>167</v>
      </c>
      <c r="BI183" s="265"/>
      <c r="BJ183" s="264" t="s">
        <v>167</v>
      </c>
      <c r="BK183" s="265"/>
      <c r="BL183" s="190" t="s">
        <v>167</v>
      </c>
      <c r="BM183" s="191"/>
      <c r="BN183" s="190" t="s">
        <v>167</v>
      </c>
      <c r="BO183" s="191"/>
      <c r="BP183" s="190" t="s">
        <v>167</v>
      </c>
      <c r="BQ183" s="191"/>
      <c r="BR183" s="190" t="s">
        <v>167</v>
      </c>
      <c r="BS183" s="191"/>
      <c r="BT183" s="204" t="s">
        <v>167</v>
      </c>
      <c r="BU183" s="205"/>
      <c r="BV183" s="204" t="s">
        <v>167</v>
      </c>
      <c r="BW183" s="205"/>
      <c r="BX183" s="204" t="s">
        <v>167</v>
      </c>
      <c r="BY183" s="205"/>
      <c r="BZ183" s="204" t="s">
        <v>167</v>
      </c>
      <c r="CA183" s="205"/>
      <c r="CB183" s="204" t="s">
        <v>167</v>
      </c>
      <c r="CC183" s="205"/>
      <c r="CD183" s="204" t="s">
        <v>167</v>
      </c>
      <c r="CE183" s="205"/>
      <c r="CF183" s="204" t="s">
        <v>167</v>
      </c>
      <c r="CG183" s="205"/>
      <c r="CH183" s="204" t="s">
        <v>167</v>
      </c>
      <c r="CI183" s="205"/>
      <c r="CJ183" s="218" t="s">
        <v>167</v>
      </c>
      <c r="CK183" s="219"/>
      <c r="CL183" s="218" t="s">
        <v>167</v>
      </c>
      <c r="CM183" s="219"/>
      <c r="CN183" s="218" t="s">
        <v>167</v>
      </c>
      <c r="CO183" s="219"/>
      <c r="CP183" s="218" t="s">
        <v>167</v>
      </c>
      <c r="CQ183" s="219"/>
      <c r="CR183" s="248" t="s">
        <v>167</v>
      </c>
      <c r="CS183" s="249"/>
      <c r="CT183" s="248" t="s">
        <v>167</v>
      </c>
      <c r="CU183" s="249"/>
      <c r="CV183" s="248" t="s">
        <v>167</v>
      </c>
      <c r="CW183" s="249"/>
      <c r="CX183" s="248" t="s">
        <v>167</v>
      </c>
      <c r="CY183" s="249"/>
      <c r="CZ183" s="233" t="s">
        <v>167</v>
      </c>
      <c r="DA183" s="234"/>
      <c r="DB183" s="233" t="s">
        <v>167</v>
      </c>
      <c r="DC183" s="234"/>
      <c r="DD183" s="233" t="s">
        <v>167</v>
      </c>
      <c r="DE183" s="234"/>
      <c r="DF183" s="233" t="s">
        <v>167</v>
      </c>
      <c r="DG183" s="234"/>
      <c r="DH183" s="233" t="s">
        <v>167</v>
      </c>
      <c r="DI183" s="234"/>
      <c r="DJ183" s="233" t="s">
        <v>167</v>
      </c>
      <c r="DK183" s="234"/>
      <c r="DL183" s="264" t="s">
        <v>167</v>
      </c>
      <c r="DM183" s="265"/>
      <c r="DN183" s="264" t="s">
        <v>167</v>
      </c>
      <c r="DO183" s="265"/>
      <c r="DP183" s="264" t="s">
        <v>167</v>
      </c>
      <c r="DQ183" s="265"/>
      <c r="DR183" s="264" t="s">
        <v>167</v>
      </c>
      <c r="DS183" s="265"/>
      <c r="DT183" s="264" t="s">
        <v>167</v>
      </c>
      <c r="DU183" s="265"/>
      <c r="DV183" s="264" t="s">
        <v>167</v>
      </c>
      <c r="DW183" s="265"/>
      <c r="DX183" s="190" t="s">
        <v>167</v>
      </c>
      <c r="DY183" s="191"/>
      <c r="DZ183" s="190" t="s">
        <v>167</v>
      </c>
      <c r="EA183" s="191"/>
      <c r="EB183" s="190" t="s">
        <v>167</v>
      </c>
      <c r="EC183" s="191"/>
      <c r="ED183" s="190" t="s">
        <v>167</v>
      </c>
      <c r="EE183" s="191"/>
      <c r="EF183" s="190" t="s">
        <v>167</v>
      </c>
      <c r="EG183" s="191"/>
      <c r="EH183" s="190" t="s">
        <v>167</v>
      </c>
      <c r="EI183" s="191"/>
    </row>
    <row r="184" spans="1:139" outlineLevel="1" x14ac:dyDescent="0.2">
      <c r="A184"/>
      <c r="B184"/>
      <c r="E184" s="187"/>
      <c r="G184" s="187"/>
      <c r="I184" s="201"/>
      <c r="K184" s="201"/>
      <c r="M184" s="201"/>
      <c r="O184" s="201"/>
      <c r="Q184" s="215"/>
      <c r="S184" s="215"/>
      <c r="U184" s="215"/>
      <c r="W184" s="215"/>
      <c r="Y184" s="245"/>
      <c r="AA184" s="245"/>
      <c r="AC184" s="245"/>
      <c r="AE184" s="245"/>
      <c r="AG184" s="245"/>
      <c r="AI184" s="245"/>
      <c r="AK184" s="230"/>
      <c r="AM184" s="230"/>
      <c r="AO184" s="230"/>
      <c r="AQ184" s="230"/>
      <c r="AS184" s="230"/>
      <c r="AU184" s="230"/>
      <c r="AW184" s="261"/>
      <c r="AY184" s="261"/>
      <c r="BA184" s="261"/>
      <c r="BC184" s="261"/>
      <c r="BE184" s="261"/>
      <c r="BG184" s="261"/>
      <c r="BI184" s="261"/>
      <c r="BK184" s="261"/>
      <c r="BM184" s="187"/>
      <c r="BO184" s="187"/>
      <c r="BQ184" s="187"/>
      <c r="BS184" s="187"/>
      <c r="BU184" s="201"/>
      <c r="BW184" s="201"/>
      <c r="BY184" s="201"/>
      <c r="CA184" s="201"/>
      <c r="CC184" s="201"/>
      <c r="CE184" s="201"/>
      <c r="CG184" s="201"/>
      <c r="CI184" s="201"/>
      <c r="CK184" s="215"/>
      <c r="CM184" s="215"/>
      <c r="CO184" s="215"/>
      <c r="CQ184" s="215"/>
      <c r="CS184" s="245"/>
      <c r="CU184" s="245"/>
      <c r="CW184" s="245"/>
      <c r="CY184" s="245"/>
      <c r="DA184" s="230"/>
      <c r="DC184" s="230"/>
      <c r="DE184" s="230"/>
      <c r="DG184" s="230"/>
      <c r="DI184" s="230"/>
      <c r="DK184" s="230"/>
      <c r="DM184" s="261"/>
      <c r="DO184" s="261"/>
      <c r="DQ184" s="261"/>
      <c r="DS184" s="261"/>
      <c r="DU184" s="261"/>
      <c r="DW184" s="261"/>
      <c r="DY184" s="187"/>
      <c r="EA184" s="187"/>
      <c r="EC184" s="187"/>
      <c r="EE184" s="187"/>
      <c r="EG184" s="187"/>
      <c r="EI184" s="187"/>
    </row>
    <row r="185" spans="1:139" outlineLevel="1" x14ac:dyDescent="0.2">
      <c r="A185"/>
      <c r="B185" s="7" t="s">
        <v>92</v>
      </c>
      <c r="C185" s="10">
        <v>34.038442044992863</v>
      </c>
      <c r="D185" s="192">
        <v>34.045674104913118</v>
      </c>
      <c r="E185" s="189"/>
      <c r="F185" s="192">
        <v>34.03114666373952</v>
      </c>
      <c r="G185" s="189"/>
      <c r="H185" s="206">
        <v>0</v>
      </c>
      <c r="I185" s="203"/>
      <c r="J185" s="206">
        <v>0</v>
      </c>
      <c r="K185" s="203"/>
      <c r="L185" s="206">
        <v>34.045674104913118</v>
      </c>
      <c r="M185" s="203"/>
      <c r="N185" s="206">
        <v>34.03114666373952</v>
      </c>
      <c r="O185" s="203"/>
      <c r="P185" s="220">
        <v>63.582547939420699</v>
      </c>
      <c r="Q185" s="217"/>
      <c r="R185" s="220">
        <v>77.966421905109769</v>
      </c>
      <c r="S185" s="217"/>
      <c r="T185" s="220">
        <v>29.168370319234381</v>
      </c>
      <c r="U185" s="217"/>
      <c r="V185" s="220">
        <v>24.756370655600733</v>
      </c>
      <c r="W185" s="217"/>
      <c r="X185" s="250">
        <v>41.323947714824705</v>
      </c>
      <c r="Y185" s="247"/>
      <c r="Z185" s="250">
        <v>35.109839405101972</v>
      </c>
      <c r="AA185" s="247"/>
      <c r="AB185" s="250">
        <v>24.742988999575093</v>
      </c>
      <c r="AC185" s="247"/>
      <c r="AD185" s="250">
        <v>61.091799612420751</v>
      </c>
      <c r="AE185" s="247" t="s">
        <v>108</v>
      </c>
      <c r="AF185" s="250">
        <v>22.627062167639099</v>
      </c>
      <c r="AG185" s="247"/>
      <c r="AH185" s="250">
        <v>20.920325758870096</v>
      </c>
      <c r="AI185" s="247"/>
      <c r="AJ185" s="235">
        <v>33.909378317690283</v>
      </c>
      <c r="AK185" s="232"/>
      <c r="AL185" s="235">
        <v>31.087559455723429</v>
      </c>
      <c r="AM185" s="232" t="s">
        <v>196</v>
      </c>
      <c r="AN185" s="235">
        <v>23.415526410851239</v>
      </c>
      <c r="AO185" s="232"/>
      <c r="AP185" s="235">
        <v>45.418265947035877</v>
      </c>
      <c r="AQ185" s="232"/>
      <c r="AR185" s="235">
        <v>16.913235375558468</v>
      </c>
      <c r="AS185" s="232"/>
      <c r="AT185" s="235">
        <v>14.844133447270721</v>
      </c>
      <c r="AU185" s="232"/>
      <c r="AV185" s="266">
        <v>44.079818760596851</v>
      </c>
      <c r="AW185" s="263"/>
      <c r="AX185" s="266">
        <v>34.67731878260436</v>
      </c>
      <c r="AY185" s="263"/>
      <c r="AZ185" s="266">
        <v>30.128202481258423</v>
      </c>
      <c r="BA185" s="263"/>
      <c r="BB185" s="266">
        <v>37.382690241235785</v>
      </c>
      <c r="BC185" s="263"/>
      <c r="BD185" s="266">
        <v>35.582851258941162</v>
      </c>
      <c r="BE185" s="263"/>
      <c r="BF185" s="266">
        <v>27.280954482138068</v>
      </c>
      <c r="BG185" s="263"/>
      <c r="BH185" s="266">
        <v>10.833631165117941</v>
      </c>
      <c r="BI185" s="263"/>
      <c r="BJ185" s="266">
        <v>26.23206360656766</v>
      </c>
      <c r="BK185" s="263"/>
      <c r="BL185" s="192">
        <v>34.457776900837274</v>
      </c>
      <c r="BM185" s="189"/>
      <c r="BN185" s="192">
        <v>36.339438370633431</v>
      </c>
      <c r="BO185" s="189"/>
      <c r="BP185" s="192">
        <v>33.736330043923878</v>
      </c>
      <c r="BQ185" s="189"/>
      <c r="BR185" s="192">
        <v>32.439250910766866</v>
      </c>
      <c r="BS185" s="189"/>
      <c r="BT185" s="206">
        <v>32.588502873413546</v>
      </c>
      <c r="BU185" s="203"/>
      <c r="BV185" s="206">
        <v>32.060965021619715</v>
      </c>
      <c r="BW185" s="203"/>
      <c r="BX185" s="206">
        <v>36.477939664309559</v>
      </c>
      <c r="BY185" s="203"/>
      <c r="BZ185" s="206">
        <v>33.91194887081263</v>
      </c>
      <c r="CA185" s="203"/>
      <c r="CB185" s="206">
        <v>34.777799671878796</v>
      </c>
      <c r="CC185" s="203"/>
      <c r="CD185" s="206">
        <v>34.284149427747629</v>
      </c>
      <c r="CE185" s="203"/>
      <c r="CF185" s="206">
        <v>27.928557406612569</v>
      </c>
      <c r="CG185" s="203"/>
      <c r="CH185" s="206">
        <v>35.345546508322393</v>
      </c>
      <c r="CI185" s="203"/>
      <c r="CJ185" s="220">
        <v>34.547897565602277</v>
      </c>
      <c r="CK185" s="217"/>
      <c r="CL185" s="220">
        <v>35.20861799941818</v>
      </c>
      <c r="CM185" s="217"/>
      <c r="CN185" s="220">
        <v>31.510125083975815</v>
      </c>
      <c r="CO185" s="217"/>
      <c r="CP185" s="220">
        <v>34.749621272357487</v>
      </c>
      <c r="CQ185" s="217"/>
      <c r="CR185" s="250">
        <v>34.966724847148647</v>
      </c>
      <c r="CS185" s="247"/>
      <c r="CT185" s="250">
        <v>27.831034219063703</v>
      </c>
      <c r="CU185" s="247"/>
      <c r="CV185" s="250">
        <v>33.487538604877912</v>
      </c>
      <c r="CW185" s="247"/>
      <c r="CX185" s="250">
        <v>38.471893433716232</v>
      </c>
      <c r="CY185" s="247"/>
      <c r="CZ185" s="235">
        <v>29.306694533496284</v>
      </c>
      <c r="DA185" s="232"/>
      <c r="DB185" s="235">
        <v>31.987056785016875</v>
      </c>
      <c r="DC185" s="232"/>
      <c r="DD185" s="235">
        <v>43.524161293356748</v>
      </c>
      <c r="DE185" s="232"/>
      <c r="DF185" s="235">
        <v>41.935838953117567</v>
      </c>
      <c r="DG185" s="232"/>
      <c r="DH185" s="235">
        <v>30.678285210753305</v>
      </c>
      <c r="DI185" s="232"/>
      <c r="DJ185" s="235">
        <v>43.975924886902682</v>
      </c>
      <c r="DK185" s="232"/>
      <c r="DL185" s="266">
        <v>41.323947714824705</v>
      </c>
      <c r="DM185" s="263"/>
      <c r="DN185" s="266">
        <v>61.091799612420751</v>
      </c>
      <c r="DO185" s="263" t="s">
        <v>228</v>
      </c>
      <c r="DP185" s="266">
        <v>24.742988999575093</v>
      </c>
      <c r="DQ185" s="263"/>
      <c r="DR185" s="266">
        <v>20.920325758870096</v>
      </c>
      <c r="DS185" s="263"/>
      <c r="DT185" s="266">
        <v>35.109839405101972</v>
      </c>
      <c r="DU185" s="263"/>
      <c r="DV185" s="266">
        <v>22.627062167639099</v>
      </c>
      <c r="DW185" s="263"/>
      <c r="DX185" s="192">
        <v>41.221267536997615</v>
      </c>
      <c r="DY185" s="189"/>
      <c r="DZ185" s="192">
        <v>42.495128025339106</v>
      </c>
      <c r="EA185" s="189"/>
      <c r="EB185" s="192">
        <v>30.617040607339195</v>
      </c>
      <c r="EC185" s="189"/>
      <c r="ED185" s="192">
        <v>36.396998595353153</v>
      </c>
      <c r="EE185" s="189"/>
      <c r="EF185" s="192">
        <v>32.720764254617933</v>
      </c>
      <c r="EG185" s="189"/>
      <c r="EH185" s="192">
        <v>22.704381169045607</v>
      </c>
      <c r="EI185" s="189"/>
    </row>
    <row r="186" spans="1:139" outlineLevel="1" x14ac:dyDescent="0.2">
      <c r="A186"/>
      <c r="B186" s="11" t="s">
        <v>93</v>
      </c>
      <c r="C186" s="12">
        <v>13.736846663786888</v>
      </c>
      <c r="D186" s="193">
        <v>13.410579451984736</v>
      </c>
      <c r="E186" s="189"/>
      <c r="F186" s="193">
        <v>14.065970554739918</v>
      </c>
      <c r="G186" s="189"/>
      <c r="H186" s="207">
        <v>0</v>
      </c>
      <c r="I186" s="203"/>
      <c r="J186" s="207">
        <v>0</v>
      </c>
      <c r="K186" s="203"/>
      <c r="L186" s="207">
        <v>13.410579451984736</v>
      </c>
      <c r="M186" s="203"/>
      <c r="N186" s="207">
        <v>14.065970554739918</v>
      </c>
      <c r="O186" s="203"/>
      <c r="P186" s="221">
        <v>42.904389888093363</v>
      </c>
      <c r="Q186" s="217"/>
      <c r="R186" s="221">
        <v>47.143154023451764</v>
      </c>
      <c r="S186" s="217"/>
      <c r="T186" s="221">
        <v>8.5403865500512524</v>
      </c>
      <c r="U186" s="217"/>
      <c r="V186" s="221">
        <v>7.0833474582185891</v>
      </c>
      <c r="W186" s="217"/>
      <c r="X186" s="251">
        <v>21.761152868991267</v>
      </c>
      <c r="Y186" s="247"/>
      <c r="Z186" s="251">
        <v>14.998238587193763</v>
      </c>
      <c r="AA186" s="247"/>
      <c r="AB186" s="251">
        <v>3.6210715578427211</v>
      </c>
      <c r="AC186" s="247"/>
      <c r="AD186" s="251">
        <v>30.584860122345511</v>
      </c>
      <c r="AE186" s="247"/>
      <c r="AF186" s="251">
        <v>8.0188230173949702</v>
      </c>
      <c r="AG186" s="247"/>
      <c r="AH186" s="251">
        <v>9.7493213356873021</v>
      </c>
      <c r="AI186" s="247"/>
      <c r="AJ186" s="236">
        <v>13.369645893815122</v>
      </c>
      <c r="AK186" s="232"/>
      <c r="AL186" s="236">
        <v>9.8231675271277084</v>
      </c>
      <c r="AM186" s="232"/>
      <c r="AN186" s="236">
        <v>3.8435999858011787</v>
      </c>
      <c r="AO186" s="232"/>
      <c r="AP186" s="236">
        <v>14.111215007071321</v>
      </c>
      <c r="AQ186" s="232"/>
      <c r="AR186" s="236">
        <v>3.8473476316138564</v>
      </c>
      <c r="AS186" s="232"/>
      <c r="AT186" s="236">
        <v>6.6402282329819808</v>
      </c>
      <c r="AU186" s="232"/>
      <c r="AV186" s="267">
        <v>18.900004347427046</v>
      </c>
      <c r="AW186" s="263"/>
      <c r="AX186" s="267">
        <v>13.235043005615768</v>
      </c>
      <c r="AY186" s="263"/>
      <c r="AZ186" s="267">
        <v>11.560108268590341</v>
      </c>
      <c r="BA186" s="263"/>
      <c r="BB186" s="267">
        <v>15.368516876181895</v>
      </c>
      <c r="BC186" s="263"/>
      <c r="BD186" s="267">
        <v>13.418463738800115</v>
      </c>
      <c r="BE186" s="263"/>
      <c r="BF186" s="267">
        <v>9.7787698670196654</v>
      </c>
      <c r="BG186" s="263"/>
      <c r="BH186" s="267">
        <v>0</v>
      </c>
      <c r="BI186" s="263"/>
      <c r="BJ186" s="267">
        <v>17.588407797136451</v>
      </c>
      <c r="BK186" s="263"/>
      <c r="BL186" s="193">
        <v>16.534459426451303</v>
      </c>
      <c r="BM186" s="189"/>
      <c r="BN186" s="193">
        <v>14.90677049331328</v>
      </c>
      <c r="BO186" s="189"/>
      <c r="BP186" s="193">
        <v>11.065645792465743</v>
      </c>
      <c r="BQ186" s="189"/>
      <c r="BR186" s="193">
        <v>13.486119296202205</v>
      </c>
      <c r="BS186" s="189"/>
      <c r="BT186" s="207">
        <v>14.152994079552755</v>
      </c>
      <c r="BU186" s="203"/>
      <c r="BV186" s="207">
        <v>11.474696765209019</v>
      </c>
      <c r="BW186" s="203"/>
      <c r="BX186" s="207">
        <v>15.046588518184551</v>
      </c>
      <c r="BY186" s="203"/>
      <c r="BZ186" s="207">
        <v>13.33136675391896</v>
      </c>
      <c r="CA186" s="203"/>
      <c r="CB186" s="207">
        <v>9.9078669617652793</v>
      </c>
      <c r="CC186" s="203"/>
      <c r="CD186" s="207">
        <v>13.769814789166865</v>
      </c>
      <c r="CE186" s="203"/>
      <c r="CF186" s="207">
        <v>13.750669607950785</v>
      </c>
      <c r="CG186" s="203"/>
      <c r="CH186" s="207">
        <v>17.352050607886781</v>
      </c>
      <c r="CI186" s="203"/>
      <c r="CJ186" s="221">
        <v>14.282682135790584</v>
      </c>
      <c r="CK186" s="217"/>
      <c r="CL186" s="221">
        <v>13.181281239807117</v>
      </c>
      <c r="CM186" s="217"/>
      <c r="CN186" s="221">
        <v>10.565277200166351</v>
      </c>
      <c r="CO186" s="217"/>
      <c r="CP186" s="221">
        <v>17.084508574728613</v>
      </c>
      <c r="CQ186" s="217"/>
      <c r="CR186" s="251">
        <v>11.1951495850813</v>
      </c>
      <c r="CS186" s="247"/>
      <c r="CT186" s="251">
        <v>12.14141010901729</v>
      </c>
      <c r="CU186" s="247"/>
      <c r="CV186" s="251">
        <v>15.11483031945105</v>
      </c>
      <c r="CW186" s="247"/>
      <c r="CX186" s="251">
        <v>15.320552623408878</v>
      </c>
      <c r="CY186" s="247"/>
      <c r="CZ186" s="236">
        <v>9.2216770872078264</v>
      </c>
      <c r="DA186" s="232"/>
      <c r="DB186" s="236">
        <v>13.901913034348619</v>
      </c>
      <c r="DC186" s="232"/>
      <c r="DD186" s="236">
        <v>19.973972262349488</v>
      </c>
      <c r="DE186" s="232"/>
      <c r="DF186" s="236">
        <v>12.659649895266432</v>
      </c>
      <c r="DG186" s="232"/>
      <c r="DH186" s="236">
        <v>18.34655640927279</v>
      </c>
      <c r="DI186" s="232"/>
      <c r="DJ186" s="236">
        <v>22.878812252568967</v>
      </c>
      <c r="DK186" s="232"/>
      <c r="DL186" s="267">
        <v>21.761152868991267</v>
      </c>
      <c r="DM186" s="263"/>
      <c r="DN186" s="267">
        <v>30.584860122345511</v>
      </c>
      <c r="DO186" s="263"/>
      <c r="DP186" s="267">
        <v>3.6210715578427211</v>
      </c>
      <c r="DQ186" s="263"/>
      <c r="DR186" s="267">
        <v>9.7493213356873021</v>
      </c>
      <c r="DS186" s="263"/>
      <c r="DT186" s="267">
        <v>14.998238587193763</v>
      </c>
      <c r="DU186" s="263"/>
      <c r="DV186" s="267">
        <v>8.0188230173949702</v>
      </c>
      <c r="DW186" s="263"/>
      <c r="DX186" s="193">
        <v>16.459719408038165</v>
      </c>
      <c r="DY186" s="189"/>
      <c r="DZ186" s="193">
        <v>21.080780483087114</v>
      </c>
      <c r="EA186" s="189"/>
      <c r="EB186" s="193">
        <v>12.859267928363542</v>
      </c>
      <c r="EC186" s="189"/>
      <c r="ED186" s="193">
        <v>13.156244757246103</v>
      </c>
      <c r="EE186" s="189"/>
      <c r="EF186" s="193">
        <v>11.48339698410401</v>
      </c>
      <c r="EG186" s="189"/>
      <c r="EH186" s="193">
        <v>8.6808791692657685</v>
      </c>
      <c r="EI186" s="189"/>
    </row>
    <row r="187" spans="1:139" outlineLevel="1" x14ac:dyDescent="0.2">
      <c r="A187"/>
      <c r="B187" s="11" t="s">
        <v>94</v>
      </c>
      <c r="C187" s="12">
        <v>20.301595381205971</v>
      </c>
      <c r="D187" s="193">
        <v>20.635094652928384</v>
      </c>
      <c r="E187" s="189"/>
      <c r="F187" s="193">
        <v>19.965176108999604</v>
      </c>
      <c r="G187" s="189"/>
      <c r="H187" s="207">
        <v>0</v>
      </c>
      <c r="I187" s="203"/>
      <c r="J187" s="207">
        <v>0</v>
      </c>
      <c r="K187" s="203"/>
      <c r="L187" s="207">
        <v>20.635094652928384</v>
      </c>
      <c r="M187" s="203"/>
      <c r="N187" s="207">
        <v>19.965176108999604</v>
      </c>
      <c r="O187" s="203"/>
      <c r="P187" s="221">
        <v>20.678158051327333</v>
      </c>
      <c r="Q187" s="217"/>
      <c r="R187" s="221">
        <v>30.823267881657998</v>
      </c>
      <c r="S187" s="217"/>
      <c r="T187" s="221">
        <v>20.627983769183128</v>
      </c>
      <c r="U187" s="217"/>
      <c r="V187" s="221">
        <v>17.673023197382143</v>
      </c>
      <c r="W187" s="217"/>
      <c r="X187" s="251">
        <v>19.562794845833441</v>
      </c>
      <c r="Y187" s="247"/>
      <c r="Z187" s="251">
        <v>20.111600817908208</v>
      </c>
      <c r="AA187" s="247"/>
      <c r="AB187" s="251">
        <v>21.121917441732371</v>
      </c>
      <c r="AC187" s="247"/>
      <c r="AD187" s="251">
        <v>30.506939490075236</v>
      </c>
      <c r="AE187" s="247"/>
      <c r="AF187" s="251">
        <v>14.608239150244128</v>
      </c>
      <c r="AG187" s="247"/>
      <c r="AH187" s="251">
        <v>11.171004423182794</v>
      </c>
      <c r="AI187" s="247"/>
      <c r="AJ187" s="236">
        <v>20.539732423875158</v>
      </c>
      <c r="AK187" s="232"/>
      <c r="AL187" s="236">
        <v>21.264391928595717</v>
      </c>
      <c r="AM187" s="232"/>
      <c r="AN187" s="236">
        <v>19.571926425050062</v>
      </c>
      <c r="AO187" s="232" t="s">
        <v>197</v>
      </c>
      <c r="AP187" s="236">
        <v>31.307050939964558</v>
      </c>
      <c r="AQ187" s="232"/>
      <c r="AR187" s="236">
        <v>13.065887743944611</v>
      </c>
      <c r="AS187" s="232"/>
      <c r="AT187" s="236">
        <v>8.2039052142887403</v>
      </c>
      <c r="AU187" s="232"/>
      <c r="AV187" s="267">
        <v>25.179814413169805</v>
      </c>
      <c r="AW187" s="263"/>
      <c r="AX187" s="267">
        <v>21.442275776988591</v>
      </c>
      <c r="AY187" s="263"/>
      <c r="AZ187" s="267">
        <v>18.568094212668086</v>
      </c>
      <c r="BA187" s="263"/>
      <c r="BB187" s="267">
        <v>22.014173365053892</v>
      </c>
      <c r="BC187" s="263"/>
      <c r="BD187" s="267">
        <v>22.164387520141048</v>
      </c>
      <c r="BE187" s="263"/>
      <c r="BF187" s="267">
        <v>17.502184615118402</v>
      </c>
      <c r="BG187" s="263"/>
      <c r="BH187" s="267">
        <v>10.833631165117941</v>
      </c>
      <c r="BI187" s="263"/>
      <c r="BJ187" s="267">
        <v>8.6436558094312108</v>
      </c>
      <c r="BK187" s="263"/>
      <c r="BL187" s="193">
        <v>17.923317474385971</v>
      </c>
      <c r="BM187" s="189"/>
      <c r="BN187" s="193">
        <v>21.432667877320149</v>
      </c>
      <c r="BO187" s="189"/>
      <c r="BP187" s="193">
        <v>22.670684251458137</v>
      </c>
      <c r="BQ187" s="189"/>
      <c r="BR187" s="193">
        <v>18.953131614564665</v>
      </c>
      <c r="BS187" s="189"/>
      <c r="BT187" s="207">
        <v>18.435508793860791</v>
      </c>
      <c r="BU187" s="203"/>
      <c r="BV187" s="207">
        <v>20.586268256410698</v>
      </c>
      <c r="BW187" s="203"/>
      <c r="BX187" s="207">
        <v>21.431351146125007</v>
      </c>
      <c r="BY187" s="203"/>
      <c r="BZ187" s="207">
        <v>20.580582116893666</v>
      </c>
      <c r="CA187" s="203"/>
      <c r="CB187" s="207">
        <v>24.869932710113517</v>
      </c>
      <c r="CC187" s="203"/>
      <c r="CD187" s="207">
        <v>20.514334638580763</v>
      </c>
      <c r="CE187" s="203"/>
      <c r="CF187" s="207">
        <v>14.177887798661784</v>
      </c>
      <c r="CG187" s="203"/>
      <c r="CH187" s="207">
        <v>17.993495900435612</v>
      </c>
      <c r="CI187" s="203"/>
      <c r="CJ187" s="221">
        <v>20.26521542981169</v>
      </c>
      <c r="CK187" s="217"/>
      <c r="CL187" s="221">
        <v>22.02733675961106</v>
      </c>
      <c r="CM187" s="217"/>
      <c r="CN187" s="221">
        <v>20.944847883809462</v>
      </c>
      <c r="CO187" s="217"/>
      <c r="CP187" s="221">
        <v>17.665112697628871</v>
      </c>
      <c r="CQ187" s="217"/>
      <c r="CR187" s="251">
        <v>23.771575262067344</v>
      </c>
      <c r="CS187" s="247"/>
      <c r="CT187" s="251">
        <v>15.689624110046415</v>
      </c>
      <c r="CU187" s="247"/>
      <c r="CV187" s="251">
        <v>18.372708285426864</v>
      </c>
      <c r="CW187" s="247"/>
      <c r="CX187" s="251">
        <v>23.151340810307357</v>
      </c>
      <c r="CY187" s="247"/>
      <c r="CZ187" s="236">
        <v>20.085017446288457</v>
      </c>
      <c r="DA187" s="232"/>
      <c r="DB187" s="236">
        <v>18.085143750668255</v>
      </c>
      <c r="DC187" s="232"/>
      <c r="DD187" s="236">
        <v>23.55018903100726</v>
      </c>
      <c r="DE187" s="232"/>
      <c r="DF187" s="236">
        <v>29.276189057851134</v>
      </c>
      <c r="DG187" s="232"/>
      <c r="DH187" s="236">
        <v>12.331728801480512</v>
      </c>
      <c r="DI187" s="232"/>
      <c r="DJ187" s="236">
        <v>21.097112634333715</v>
      </c>
      <c r="DK187" s="232"/>
      <c r="DL187" s="267">
        <v>19.562794845833441</v>
      </c>
      <c r="DM187" s="263"/>
      <c r="DN187" s="267">
        <v>30.506939490075236</v>
      </c>
      <c r="DO187" s="263"/>
      <c r="DP187" s="267">
        <v>21.121917441732371</v>
      </c>
      <c r="DQ187" s="263"/>
      <c r="DR187" s="267">
        <v>11.171004423182794</v>
      </c>
      <c r="DS187" s="263"/>
      <c r="DT187" s="267">
        <v>20.111600817908208</v>
      </c>
      <c r="DU187" s="263"/>
      <c r="DV187" s="267">
        <v>14.608239150244128</v>
      </c>
      <c r="DW187" s="263"/>
      <c r="DX187" s="193">
        <v>24.761548128959451</v>
      </c>
      <c r="DY187" s="189"/>
      <c r="DZ187" s="193">
        <v>21.414347542251988</v>
      </c>
      <c r="EA187" s="189"/>
      <c r="EB187" s="193">
        <v>17.757772678975655</v>
      </c>
      <c r="EC187" s="189"/>
      <c r="ED187" s="193">
        <v>23.24075383810705</v>
      </c>
      <c r="EE187" s="189"/>
      <c r="EF187" s="193">
        <v>21.237367270513921</v>
      </c>
      <c r="EG187" s="189"/>
      <c r="EH187" s="193">
        <v>14.023501999779841</v>
      </c>
      <c r="EI187" s="189"/>
    </row>
    <row r="188" spans="1:139" outlineLevel="1" x14ac:dyDescent="0.2">
      <c r="A188"/>
      <c r="B188" s="7"/>
      <c r="E188" s="187"/>
      <c r="G188" s="187"/>
      <c r="I188" s="201"/>
      <c r="K188" s="201"/>
      <c r="M188" s="201"/>
      <c r="O188" s="201"/>
      <c r="Q188" s="215"/>
      <c r="S188" s="215"/>
      <c r="U188" s="215"/>
      <c r="W188" s="215"/>
      <c r="Y188" s="245"/>
      <c r="AA188" s="245"/>
      <c r="AC188" s="245"/>
      <c r="AE188" s="245"/>
      <c r="AG188" s="245"/>
      <c r="AI188" s="245"/>
      <c r="AK188" s="230"/>
      <c r="AM188" s="230"/>
      <c r="AO188" s="230"/>
      <c r="AQ188" s="230"/>
      <c r="AS188" s="230"/>
      <c r="AU188" s="230"/>
      <c r="AW188" s="261"/>
      <c r="AY188" s="261"/>
      <c r="BA188" s="261"/>
      <c r="BC188" s="261"/>
      <c r="BE188" s="261"/>
      <c r="BG188" s="261"/>
      <c r="BI188" s="261"/>
      <c r="BK188" s="261"/>
      <c r="BM188" s="187"/>
      <c r="BO188" s="187"/>
      <c r="BQ188" s="187"/>
      <c r="BS188" s="187"/>
      <c r="BU188" s="201"/>
      <c r="BW188" s="201"/>
      <c r="BY188" s="201"/>
      <c r="CA188" s="201"/>
      <c r="CC188" s="201"/>
      <c r="CE188" s="201"/>
      <c r="CG188" s="201"/>
      <c r="CI188" s="201"/>
      <c r="CK188" s="215"/>
      <c r="CM188" s="215"/>
      <c r="CO188" s="215"/>
      <c r="CQ188" s="215"/>
      <c r="CS188" s="245"/>
      <c r="CU188" s="245"/>
      <c r="CW188" s="245"/>
      <c r="CY188" s="245"/>
      <c r="DA188" s="230"/>
      <c r="DC188" s="230"/>
      <c r="DE188" s="230"/>
      <c r="DG188" s="230"/>
      <c r="DI188" s="230"/>
      <c r="DK188" s="230"/>
      <c r="DM188" s="261"/>
      <c r="DO188" s="261"/>
      <c r="DQ188" s="261"/>
      <c r="DS188" s="261"/>
      <c r="DU188" s="261"/>
      <c r="DW188" s="261"/>
      <c r="DY188" s="187"/>
      <c r="EA188" s="187"/>
      <c r="EC188" s="187"/>
      <c r="EE188" s="187"/>
      <c r="EG188" s="187"/>
      <c r="EI188" s="187"/>
    </row>
    <row r="189" spans="1:139" outlineLevel="1" x14ac:dyDescent="0.2">
      <c r="A189"/>
      <c r="B189" s="13" t="s">
        <v>95</v>
      </c>
      <c r="C189" s="12">
        <v>46.931833115983785</v>
      </c>
      <c r="D189" s="193">
        <v>46.478167856198496</v>
      </c>
      <c r="E189" s="189"/>
      <c r="F189" s="193">
        <v>47.389470506716428</v>
      </c>
      <c r="G189" s="189"/>
      <c r="H189" s="207">
        <v>0</v>
      </c>
      <c r="I189" s="203"/>
      <c r="J189" s="207">
        <v>0</v>
      </c>
      <c r="K189" s="203"/>
      <c r="L189" s="207">
        <v>46.478167856198496</v>
      </c>
      <c r="M189" s="203"/>
      <c r="N189" s="207">
        <v>47.389470506716428</v>
      </c>
      <c r="O189" s="203"/>
      <c r="P189" s="221">
        <v>22.941244217517323</v>
      </c>
      <c r="Q189" s="217"/>
      <c r="R189" s="221">
        <v>17.5409650238674</v>
      </c>
      <c r="S189" s="217"/>
      <c r="T189" s="221">
        <v>50.364724280868437</v>
      </c>
      <c r="U189" s="217"/>
      <c r="V189" s="221">
        <v>53.690516784684235</v>
      </c>
      <c r="W189" s="217"/>
      <c r="X189" s="251">
        <v>42.897471620180923</v>
      </c>
      <c r="Y189" s="247" t="s">
        <v>189</v>
      </c>
      <c r="Z189" s="251">
        <v>47.196098853550012</v>
      </c>
      <c r="AA189" s="247"/>
      <c r="AB189" s="251">
        <v>49.351620162724458</v>
      </c>
      <c r="AC189" s="247"/>
      <c r="AD189" s="251">
        <v>27.937380146430069</v>
      </c>
      <c r="AE189" s="247"/>
      <c r="AF189" s="251">
        <v>55.935801360951309</v>
      </c>
      <c r="AG189" s="247"/>
      <c r="AH189" s="251">
        <v>52.470148262049854</v>
      </c>
      <c r="AI189" s="247"/>
      <c r="AJ189" s="236">
        <v>49.502874940105421</v>
      </c>
      <c r="AK189" s="232"/>
      <c r="AL189" s="236">
        <v>49.788675478847672</v>
      </c>
      <c r="AM189" s="232"/>
      <c r="AN189" s="236">
        <v>50.408320509153022</v>
      </c>
      <c r="AO189" s="232"/>
      <c r="AP189" s="236">
        <v>38.790516183135558</v>
      </c>
      <c r="AQ189" s="232"/>
      <c r="AR189" s="236">
        <v>58.726754990939618</v>
      </c>
      <c r="AS189" s="232"/>
      <c r="AT189" s="236">
        <v>57.119622890668673</v>
      </c>
      <c r="AU189" s="232"/>
      <c r="AV189" s="267">
        <v>41.43204246953178</v>
      </c>
      <c r="AW189" s="263"/>
      <c r="AX189" s="267">
        <v>48.919919188198257</v>
      </c>
      <c r="AY189" s="263"/>
      <c r="AZ189" s="267">
        <v>46.833597948595127</v>
      </c>
      <c r="BA189" s="263"/>
      <c r="BB189" s="267">
        <v>44.90007554748464</v>
      </c>
      <c r="BC189" s="263"/>
      <c r="BD189" s="267">
        <v>48.607547245729002</v>
      </c>
      <c r="BE189" s="263"/>
      <c r="BF189" s="267">
        <v>50.999385712184527</v>
      </c>
      <c r="BG189" s="263"/>
      <c r="BH189" s="267">
        <v>67.987976105381392</v>
      </c>
      <c r="BI189" s="263"/>
      <c r="BJ189" s="267">
        <v>49.153951103235215</v>
      </c>
      <c r="BK189" s="263"/>
      <c r="BL189" s="193">
        <v>46.063633312544766</v>
      </c>
      <c r="BM189" s="189"/>
      <c r="BN189" s="193">
        <v>43.125328184134077</v>
      </c>
      <c r="BO189" s="189"/>
      <c r="BP189" s="193">
        <v>46.789337303293841</v>
      </c>
      <c r="BQ189" s="189"/>
      <c r="BR189" s="193">
        <v>50.330203704828534</v>
      </c>
      <c r="BS189" s="189"/>
      <c r="BT189" s="207">
        <v>42.708474399708322</v>
      </c>
      <c r="BU189" s="203"/>
      <c r="BV189" s="207">
        <v>54.84977950468069</v>
      </c>
      <c r="BW189" s="203"/>
      <c r="BX189" s="207">
        <v>45.07901855630962</v>
      </c>
      <c r="BY189" s="203"/>
      <c r="BZ189" s="207">
        <v>45.745289009731046</v>
      </c>
      <c r="CA189" s="203"/>
      <c r="CB189" s="207">
        <v>46.299818303153955</v>
      </c>
      <c r="CC189" s="203"/>
      <c r="CD189" s="207">
        <v>46.412626065497399</v>
      </c>
      <c r="CE189" s="203"/>
      <c r="CF189" s="207">
        <v>54.041271140479594</v>
      </c>
      <c r="CG189" s="203"/>
      <c r="CH189" s="207">
        <v>45.940953533552026</v>
      </c>
      <c r="CI189" s="203"/>
      <c r="CJ189" s="221">
        <v>44.43464105688313</v>
      </c>
      <c r="CK189" s="217"/>
      <c r="CL189" s="221">
        <v>44.18249777409487</v>
      </c>
      <c r="CM189" s="217"/>
      <c r="CN189" s="221">
        <v>51.979429924181836</v>
      </c>
      <c r="CO189" s="217"/>
      <c r="CP189" s="221">
        <v>51.498254923459356</v>
      </c>
      <c r="CQ189" s="217"/>
      <c r="CR189" s="251">
        <v>39.584098865990953</v>
      </c>
      <c r="CS189" s="247"/>
      <c r="CT189" s="251">
        <v>51.989944642391926</v>
      </c>
      <c r="CU189" s="247" t="s">
        <v>219</v>
      </c>
      <c r="CV189" s="251">
        <v>51.419959656206508</v>
      </c>
      <c r="CW189" s="247"/>
      <c r="CX189" s="251">
        <v>44.179020490530888</v>
      </c>
      <c r="CY189" s="247"/>
      <c r="CZ189" s="236">
        <v>50.428649305002061</v>
      </c>
      <c r="DA189" s="232"/>
      <c r="DB189" s="236">
        <v>49.980642304920565</v>
      </c>
      <c r="DC189" s="232"/>
      <c r="DD189" s="236">
        <v>39.834652268582666</v>
      </c>
      <c r="DE189" s="232"/>
      <c r="DF189" s="236">
        <v>39.021590978991775</v>
      </c>
      <c r="DG189" s="232"/>
      <c r="DH189" s="236">
        <v>48.913449978893368</v>
      </c>
      <c r="DI189" s="232"/>
      <c r="DJ189" s="236">
        <v>36.99017926856542</v>
      </c>
      <c r="DK189" s="232"/>
      <c r="DL189" s="267">
        <v>42.897471620180923</v>
      </c>
      <c r="DM189" s="263" t="s">
        <v>229</v>
      </c>
      <c r="DN189" s="267">
        <v>27.937380146430069</v>
      </c>
      <c r="DO189" s="263"/>
      <c r="DP189" s="267">
        <v>49.351620162724458</v>
      </c>
      <c r="DQ189" s="263"/>
      <c r="DR189" s="267">
        <v>52.470148262049854</v>
      </c>
      <c r="DS189" s="263"/>
      <c r="DT189" s="267">
        <v>47.196098853550012</v>
      </c>
      <c r="DU189" s="263"/>
      <c r="DV189" s="267">
        <v>55.935801360951309</v>
      </c>
      <c r="DW189" s="263"/>
      <c r="DX189" s="193">
        <v>38.856190207494421</v>
      </c>
      <c r="DY189" s="189"/>
      <c r="DZ189" s="193">
        <v>41.448197490268143</v>
      </c>
      <c r="EA189" s="189"/>
      <c r="EB189" s="193">
        <v>49.910531421795838</v>
      </c>
      <c r="EC189" s="189"/>
      <c r="ED189" s="193">
        <v>46.880269481662289</v>
      </c>
      <c r="EE189" s="189"/>
      <c r="EF189" s="193">
        <v>48.20116983807096</v>
      </c>
      <c r="EG189" s="189"/>
      <c r="EH189" s="193">
        <v>53.734726452133707</v>
      </c>
      <c r="EI189" s="189"/>
    </row>
    <row r="190" spans="1:139" outlineLevel="1" x14ac:dyDescent="0.2">
      <c r="A190"/>
      <c r="B190" s="7"/>
      <c r="E190" s="187"/>
      <c r="G190" s="187"/>
      <c r="I190" s="201"/>
      <c r="K190" s="201"/>
      <c r="M190" s="201"/>
      <c r="O190" s="201"/>
      <c r="Q190" s="215"/>
      <c r="S190" s="215"/>
      <c r="U190" s="215"/>
      <c r="W190" s="215"/>
      <c r="Y190" s="245"/>
      <c r="AA190" s="245"/>
      <c r="AC190" s="245"/>
      <c r="AE190" s="245"/>
      <c r="AG190" s="245"/>
      <c r="AI190" s="245"/>
      <c r="AK190" s="230"/>
      <c r="AM190" s="230"/>
      <c r="AO190" s="230"/>
      <c r="AQ190" s="230"/>
      <c r="AS190" s="230"/>
      <c r="AU190" s="230"/>
      <c r="AW190" s="261"/>
      <c r="AY190" s="261"/>
      <c r="BA190" s="261"/>
      <c r="BC190" s="261"/>
      <c r="BE190" s="261"/>
      <c r="BG190" s="261"/>
      <c r="BI190" s="261"/>
      <c r="BK190" s="261"/>
      <c r="BM190" s="187"/>
      <c r="BO190" s="187"/>
      <c r="BQ190" s="187"/>
      <c r="BS190" s="187"/>
      <c r="BU190" s="201"/>
      <c r="BW190" s="201"/>
      <c r="BY190" s="201"/>
      <c r="CA190" s="201"/>
      <c r="CC190" s="201"/>
      <c r="CE190" s="201"/>
      <c r="CG190" s="201"/>
      <c r="CI190" s="201"/>
      <c r="CK190" s="215"/>
      <c r="CM190" s="215"/>
      <c r="CO190" s="215"/>
      <c r="CQ190" s="215"/>
      <c r="CS190" s="245"/>
      <c r="CU190" s="245"/>
      <c r="CW190" s="245"/>
      <c r="CY190" s="245"/>
      <c r="DA190" s="230"/>
      <c r="DC190" s="230"/>
      <c r="DE190" s="230"/>
      <c r="DG190" s="230"/>
      <c r="DI190" s="230"/>
      <c r="DK190" s="230"/>
      <c r="DM190" s="261"/>
      <c r="DO190" s="261"/>
      <c r="DQ190" s="261"/>
      <c r="DS190" s="261"/>
      <c r="DU190" s="261"/>
      <c r="DW190" s="261"/>
      <c r="DY190" s="187"/>
      <c r="EA190" s="187"/>
      <c r="EC190" s="187"/>
      <c r="EE190" s="187"/>
      <c r="EG190" s="187"/>
      <c r="EI190" s="187"/>
    </row>
    <row r="191" spans="1:139" outlineLevel="1" x14ac:dyDescent="0.2">
      <c r="A191"/>
      <c r="B191" s="7" t="s">
        <v>96</v>
      </c>
      <c r="C191" s="10">
        <v>19.029724839023356</v>
      </c>
      <c r="D191" s="192">
        <v>19.476158038888389</v>
      </c>
      <c r="E191" s="189"/>
      <c r="F191" s="192">
        <v>18.579382829544052</v>
      </c>
      <c r="G191" s="189"/>
      <c r="H191" s="206">
        <v>0</v>
      </c>
      <c r="I191" s="203"/>
      <c r="J191" s="206">
        <v>0</v>
      </c>
      <c r="K191" s="203"/>
      <c r="L191" s="206">
        <v>19.476158038888389</v>
      </c>
      <c r="M191" s="203"/>
      <c r="N191" s="206">
        <v>18.579382829544052</v>
      </c>
      <c r="O191" s="203"/>
      <c r="P191" s="220">
        <v>13.476207843061982</v>
      </c>
      <c r="Q191" s="217"/>
      <c r="R191" s="220">
        <v>4.4926130710228342</v>
      </c>
      <c r="S191" s="217"/>
      <c r="T191" s="220">
        <v>20.466905399897179</v>
      </c>
      <c r="U191" s="217"/>
      <c r="V191" s="220">
        <v>21.553112559715029</v>
      </c>
      <c r="W191" s="217"/>
      <c r="X191" s="250">
        <v>15.778580664994365</v>
      </c>
      <c r="Y191" s="247"/>
      <c r="Z191" s="250">
        <v>17.694061741348015</v>
      </c>
      <c r="AA191" s="247"/>
      <c r="AB191" s="250">
        <v>25.905390837700455</v>
      </c>
      <c r="AC191" s="247"/>
      <c r="AD191" s="250">
        <v>10.970820241149177</v>
      </c>
      <c r="AE191" s="247"/>
      <c r="AF191" s="250">
        <v>21.437136471409595</v>
      </c>
      <c r="AG191" s="247"/>
      <c r="AH191" s="250">
        <v>26.609525979080054</v>
      </c>
      <c r="AI191" s="247"/>
      <c r="AJ191" s="235">
        <v>16.58774674220431</v>
      </c>
      <c r="AK191" s="232"/>
      <c r="AL191" s="235">
        <v>19.123765065428898</v>
      </c>
      <c r="AM191" s="232"/>
      <c r="AN191" s="235">
        <v>26.176153079995739</v>
      </c>
      <c r="AO191" s="232"/>
      <c r="AP191" s="235">
        <v>15.791217869828561</v>
      </c>
      <c r="AQ191" s="232"/>
      <c r="AR191" s="235">
        <v>24.360009633501921</v>
      </c>
      <c r="AS191" s="232"/>
      <c r="AT191" s="235">
        <v>28.036243662060606</v>
      </c>
      <c r="AU191" s="232"/>
      <c r="AV191" s="266">
        <v>14.488138769871364</v>
      </c>
      <c r="AW191" s="263"/>
      <c r="AX191" s="266">
        <v>16.40276202919739</v>
      </c>
      <c r="AY191" s="263"/>
      <c r="AZ191" s="266">
        <v>23.038199570146443</v>
      </c>
      <c r="BA191" s="263"/>
      <c r="BB191" s="266">
        <v>17.717234211279568</v>
      </c>
      <c r="BC191" s="263"/>
      <c r="BD191" s="266">
        <v>15.809601495329838</v>
      </c>
      <c r="BE191" s="263"/>
      <c r="BF191" s="266">
        <v>21.719659805677402</v>
      </c>
      <c r="BG191" s="263"/>
      <c r="BH191" s="266">
        <v>21.178392729500661</v>
      </c>
      <c r="BI191" s="263"/>
      <c r="BJ191" s="266">
        <v>24.613985290197125</v>
      </c>
      <c r="BK191" s="263"/>
      <c r="BL191" s="192">
        <v>19.478589786617956</v>
      </c>
      <c r="BM191" s="189"/>
      <c r="BN191" s="192">
        <v>20.535233445232496</v>
      </c>
      <c r="BO191" s="189"/>
      <c r="BP191" s="192">
        <v>19.474332652782284</v>
      </c>
      <c r="BQ191" s="189"/>
      <c r="BR191" s="192">
        <v>17.230545384404593</v>
      </c>
      <c r="BS191" s="189"/>
      <c r="BT191" s="206">
        <v>24.703022726878135</v>
      </c>
      <c r="BU191" s="203"/>
      <c r="BV191" s="206">
        <v>13.089255473699593</v>
      </c>
      <c r="BW191" s="203"/>
      <c r="BX191" s="206">
        <v>18.443041779380824</v>
      </c>
      <c r="BY191" s="203"/>
      <c r="BZ191" s="206">
        <v>20.342762119456321</v>
      </c>
      <c r="CA191" s="203"/>
      <c r="CB191" s="206">
        <v>18.922382024967259</v>
      </c>
      <c r="CC191" s="203"/>
      <c r="CD191" s="206">
        <v>19.303224506754969</v>
      </c>
      <c r="CE191" s="203"/>
      <c r="CF191" s="206">
        <v>18.030171452907847</v>
      </c>
      <c r="CG191" s="203"/>
      <c r="CH191" s="206">
        <v>18.713499958125585</v>
      </c>
      <c r="CI191" s="203"/>
      <c r="CJ191" s="220">
        <v>21.017461377514589</v>
      </c>
      <c r="CK191" s="217"/>
      <c r="CL191" s="220">
        <v>20.608884226486946</v>
      </c>
      <c r="CM191" s="217"/>
      <c r="CN191" s="220">
        <v>16.510444991842348</v>
      </c>
      <c r="CO191" s="217"/>
      <c r="CP191" s="220">
        <v>13.752123804183162</v>
      </c>
      <c r="CQ191" s="217"/>
      <c r="CR191" s="250">
        <v>25.449176286860396</v>
      </c>
      <c r="CS191" s="247"/>
      <c r="CT191" s="250">
        <v>20.179021138544371</v>
      </c>
      <c r="CU191" s="247"/>
      <c r="CV191" s="250">
        <v>15.092501738915573</v>
      </c>
      <c r="CW191" s="247"/>
      <c r="CX191" s="250">
        <v>17.349086075752872</v>
      </c>
      <c r="CY191" s="247"/>
      <c r="CZ191" s="235">
        <v>20.264656161501662</v>
      </c>
      <c r="DA191" s="232"/>
      <c r="DB191" s="235">
        <v>18.032300910062567</v>
      </c>
      <c r="DC191" s="232"/>
      <c r="DD191" s="235">
        <v>16.641186438060583</v>
      </c>
      <c r="DE191" s="232"/>
      <c r="DF191" s="235">
        <v>19.042570067890662</v>
      </c>
      <c r="DG191" s="232"/>
      <c r="DH191" s="235">
        <v>20.408264810353323</v>
      </c>
      <c r="DI191" s="232"/>
      <c r="DJ191" s="235">
        <v>19.033895844531898</v>
      </c>
      <c r="DK191" s="232"/>
      <c r="DL191" s="266">
        <v>15.778580664994365</v>
      </c>
      <c r="DM191" s="263"/>
      <c r="DN191" s="266">
        <v>10.970820241149177</v>
      </c>
      <c r="DO191" s="263"/>
      <c r="DP191" s="266">
        <v>25.905390837700455</v>
      </c>
      <c r="DQ191" s="263"/>
      <c r="DR191" s="266">
        <v>26.609525979080054</v>
      </c>
      <c r="DS191" s="263"/>
      <c r="DT191" s="266">
        <v>17.694061741348015</v>
      </c>
      <c r="DU191" s="263"/>
      <c r="DV191" s="266">
        <v>21.437136471409595</v>
      </c>
      <c r="DW191" s="263"/>
      <c r="DX191" s="192">
        <v>19.922542255507963</v>
      </c>
      <c r="DY191" s="189"/>
      <c r="DZ191" s="192">
        <v>16.056674484392754</v>
      </c>
      <c r="EA191" s="189"/>
      <c r="EB191" s="192">
        <v>19.472427970864967</v>
      </c>
      <c r="EC191" s="189"/>
      <c r="ED191" s="192">
        <v>16.722731922984561</v>
      </c>
      <c r="EE191" s="189"/>
      <c r="EF191" s="192">
        <v>19.078065907311117</v>
      </c>
      <c r="EG191" s="189"/>
      <c r="EH191" s="192">
        <v>23.560892378820679</v>
      </c>
      <c r="EI191" s="189"/>
    </row>
    <row r="192" spans="1:139" outlineLevel="1" x14ac:dyDescent="0.2">
      <c r="A192"/>
      <c r="B192" s="11" t="s">
        <v>97</v>
      </c>
      <c r="C192" s="12">
        <v>5.9880278786656733</v>
      </c>
      <c r="D192" s="193">
        <v>5.4710937780539268</v>
      </c>
      <c r="E192" s="189"/>
      <c r="F192" s="193">
        <v>6.5094880695928978</v>
      </c>
      <c r="G192" s="189"/>
      <c r="H192" s="207">
        <v>0</v>
      </c>
      <c r="I192" s="203"/>
      <c r="J192" s="207">
        <v>0</v>
      </c>
      <c r="K192" s="203"/>
      <c r="L192" s="207">
        <v>5.4710937780539268</v>
      </c>
      <c r="M192" s="203"/>
      <c r="N192" s="207">
        <v>6.5094880695928978</v>
      </c>
      <c r="O192" s="203"/>
      <c r="P192" s="221">
        <v>8.2739889053112474</v>
      </c>
      <c r="Q192" s="217"/>
      <c r="R192" s="221">
        <v>1.4188193508570852</v>
      </c>
      <c r="S192" s="217"/>
      <c r="T192" s="221">
        <v>5.008263111151682</v>
      </c>
      <c r="U192" s="217"/>
      <c r="V192" s="221">
        <v>7.5841328018388268</v>
      </c>
      <c r="W192" s="217"/>
      <c r="X192" s="251">
        <v>7.7804894831803271</v>
      </c>
      <c r="Y192" s="247"/>
      <c r="Z192" s="251">
        <v>6.4725219602227035</v>
      </c>
      <c r="AA192" s="247"/>
      <c r="AB192" s="251">
        <v>4.5674779283319964</v>
      </c>
      <c r="AC192" s="247"/>
      <c r="AD192" s="251">
        <v>3.9870064815798658</v>
      </c>
      <c r="AE192" s="247"/>
      <c r="AF192" s="251">
        <v>9.4257891658846411</v>
      </c>
      <c r="AG192" s="247"/>
      <c r="AH192" s="251">
        <v>6.8223323272016252</v>
      </c>
      <c r="AI192" s="247"/>
      <c r="AJ192" s="236">
        <v>8.0144827456617538</v>
      </c>
      <c r="AK192" s="232"/>
      <c r="AL192" s="236">
        <v>6.1812974486483618</v>
      </c>
      <c r="AM192" s="232"/>
      <c r="AN192" s="236">
        <v>3.5269453950926368</v>
      </c>
      <c r="AO192" s="232"/>
      <c r="AP192" s="236">
        <v>6.1298789395973783</v>
      </c>
      <c r="AQ192" s="232"/>
      <c r="AR192" s="236">
        <v>10.710960169075687</v>
      </c>
      <c r="AS192" s="232"/>
      <c r="AT192" s="236">
        <v>6.4956710336924708</v>
      </c>
      <c r="AU192" s="232"/>
      <c r="AV192" s="267">
        <v>4.3080103758592205</v>
      </c>
      <c r="AW192" s="263"/>
      <c r="AX192" s="267">
        <v>6.9196544201868342</v>
      </c>
      <c r="AY192" s="263"/>
      <c r="AZ192" s="267">
        <v>6.555576431141878</v>
      </c>
      <c r="BA192" s="263"/>
      <c r="BB192" s="267">
        <v>5.8934076607964858</v>
      </c>
      <c r="BC192" s="263"/>
      <c r="BD192" s="267">
        <v>5.3980748725695866</v>
      </c>
      <c r="BE192" s="263"/>
      <c r="BF192" s="267">
        <v>8.8876199375329854</v>
      </c>
      <c r="BG192" s="263"/>
      <c r="BH192" s="267">
        <v>0</v>
      </c>
      <c r="BI192" s="263"/>
      <c r="BJ192" s="267">
        <v>4.1523044835102798</v>
      </c>
      <c r="BK192" s="263"/>
      <c r="BL192" s="193">
        <v>4.569635455691488</v>
      </c>
      <c r="BM192" s="189"/>
      <c r="BN192" s="193">
        <v>7.2503396978924277</v>
      </c>
      <c r="BO192" s="189"/>
      <c r="BP192" s="193">
        <v>6.147771492959464</v>
      </c>
      <c r="BQ192" s="189"/>
      <c r="BR192" s="193">
        <v>5.9985654001786983</v>
      </c>
      <c r="BS192" s="189"/>
      <c r="BT192" s="207">
        <v>10.966369776203623</v>
      </c>
      <c r="BU192" s="203" t="s">
        <v>209</v>
      </c>
      <c r="BV192" s="207">
        <v>1.6329548092049275</v>
      </c>
      <c r="BW192" s="203"/>
      <c r="BX192" s="207">
        <v>3.3617135715754669</v>
      </c>
      <c r="BY192" s="203"/>
      <c r="BZ192" s="207">
        <v>3.5556131292408768</v>
      </c>
      <c r="CA192" s="203"/>
      <c r="CB192" s="207">
        <v>5.5862254412598817</v>
      </c>
      <c r="CC192" s="203"/>
      <c r="CD192" s="207">
        <v>12.086801052591818</v>
      </c>
      <c r="CE192" s="203"/>
      <c r="CF192" s="207">
        <v>5.5752972061128139</v>
      </c>
      <c r="CG192" s="203"/>
      <c r="CH192" s="207">
        <v>9.579215190858875</v>
      </c>
      <c r="CI192" s="203"/>
      <c r="CJ192" s="221">
        <v>6.0340417822647394</v>
      </c>
      <c r="CK192" s="217"/>
      <c r="CL192" s="221">
        <v>7.171469626312402</v>
      </c>
      <c r="CM192" s="217"/>
      <c r="CN192" s="221">
        <v>5.2164976486771808</v>
      </c>
      <c r="CO192" s="217"/>
      <c r="CP192" s="221">
        <v>4.4560968873191102</v>
      </c>
      <c r="CQ192" s="217"/>
      <c r="CR192" s="251">
        <v>6.6884588296536727</v>
      </c>
      <c r="CS192" s="247"/>
      <c r="CT192" s="251">
        <v>5.1926110360077198</v>
      </c>
      <c r="CU192" s="247"/>
      <c r="CV192" s="251">
        <v>4.5833577329016153</v>
      </c>
      <c r="CW192" s="247"/>
      <c r="CX192" s="251">
        <v>7.230722213598261</v>
      </c>
      <c r="CY192" s="247"/>
      <c r="CZ192" s="236">
        <v>4.7273242529977511</v>
      </c>
      <c r="DA192" s="232"/>
      <c r="DB192" s="236">
        <v>6.1482587145332479</v>
      </c>
      <c r="DC192" s="232"/>
      <c r="DD192" s="236">
        <v>7.4376997881561158</v>
      </c>
      <c r="DE192" s="232"/>
      <c r="DF192" s="236">
        <v>11.155501021435578</v>
      </c>
      <c r="DG192" s="232"/>
      <c r="DH192" s="236">
        <v>4.6778069008245229</v>
      </c>
      <c r="DI192" s="232"/>
      <c r="DJ192" s="236">
        <v>1.7544307075399519</v>
      </c>
      <c r="DK192" s="232"/>
      <c r="DL192" s="267">
        <v>7.7804894831803271</v>
      </c>
      <c r="DM192" s="263"/>
      <c r="DN192" s="267">
        <v>3.9870064815798658</v>
      </c>
      <c r="DO192" s="263"/>
      <c r="DP192" s="267">
        <v>4.5674779283319964</v>
      </c>
      <c r="DQ192" s="263"/>
      <c r="DR192" s="267">
        <v>6.8223323272016252</v>
      </c>
      <c r="DS192" s="263"/>
      <c r="DT192" s="267">
        <v>6.4725219602227035</v>
      </c>
      <c r="DU192" s="263"/>
      <c r="DV192" s="267">
        <v>9.4257891658846411</v>
      </c>
      <c r="DW192" s="263"/>
      <c r="DX192" s="193">
        <v>6.5635948600887426</v>
      </c>
      <c r="DY192" s="189"/>
      <c r="DZ192" s="193">
        <v>5.9146497739307042</v>
      </c>
      <c r="EA192" s="189"/>
      <c r="EB192" s="193">
        <v>7.0549284713346374</v>
      </c>
      <c r="EC192" s="189"/>
      <c r="ED192" s="193">
        <v>8.1700445078966162</v>
      </c>
      <c r="EE192" s="189"/>
      <c r="EF192" s="193">
        <v>2.0972279439873218</v>
      </c>
      <c r="EG192" s="189"/>
      <c r="EH192" s="193">
        <v>4.7583752247458992</v>
      </c>
      <c r="EI192" s="189"/>
    </row>
    <row r="193" spans="1:139" outlineLevel="1" x14ac:dyDescent="0.2">
      <c r="A193"/>
      <c r="B193" s="11" t="s">
        <v>98</v>
      </c>
      <c r="C193" s="12">
        <v>13.041696960357683</v>
      </c>
      <c r="D193" s="193">
        <v>14.005064260834461</v>
      </c>
      <c r="E193" s="189"/>
      <c r="F193" s="193">
        <v>12.069894759951154</v>
      </c>
      <c r="G193" s="189"/>
      <c r="H193" s="207">
        <v>0</v>
      </c>
      <c r="I193" s="203"/>
      <c r="J193" s="207">
        <v>0</v>
      </c>
      <c r="K193" s="203"/>
      <c r="L193" s="207">
        <v>14.005064260834461</v>
      </c>
      <c r="M193" s="203"/>
      <c r="N193" s="207">
        <v>12.069894759951154</v>
      </c>
      <c r="O193" s="203"/>
      <c r="P193" s="221">
        <v>5.2022189377507342</v>
      </c>
      <c r="Q193" s="217"/>
      <c r="R193" s="221">
        <v>3.073793720165749</v>
      </c>
      <c r="S193" s="217"/>
      <c r="T193" s="221">
        <v>15.458642288745496</v>
      </c>
      <c r="U193" s="217"/>
      <c r="V193" s="221">
        <v>13.968979757876202</v>
      </c>
      <c r="W193" s="217"/>
      <c r="X193" s="251">
        <v>7.9980911818140381</v>
      </c>
      <c r="Y193" s="247"/>
      <c r="Z193" s="251">
        <v>11.221539781125314</v>
      </c>
      <c r="AA193" s="247"/>
      <c r="AB193" s="251">
        <v>21.337912909368463</v>
      </c>
      <c r="AC193" s="247"/>
      <c r="AD193" s="251">
        <v>6.9838137595693111</v>
      </c>
      <c r="AE193" s="247"/>
      <c r="AF193" s="251">
        <v>12.011347305524955</v>
      </c>
      <c r="AG193" s="247"/>
      <c r="AH193" s="251">
        <v>19.787193651878429</v>
      </c>
      <c r="AI193" s="247"/>
      <c r="AJ193" s="236">
        <v>8.5732639965425559</v>
      </c>
      <c r="AK193" s="232"/>
      <c r="AL193" s="236">
        <v>12.942467616780537</v>
      </c>
      <c r="AM193" s="232"/>
      <c r="AN193" s="236">
        <v>22.649207684903104</v>
      </c>
      <c r="AO193" s="232"/>
      <c r="AP193" s="236">
        <v>9.6613389302311834</v>
      </c>
      <c r="AQ193" s="232"/>
      <c r="AR193" s="236">
        <v>13.649049464426234</v>
      </c>
      <c r="AS193" s="232"/>
      <c r="AT193" s="236">
        <v>21.540572628368135</v>
      </c>
      <c r="AU193" s="232"/>
      <c r="AV193" s="267">
        <v>10.180128394012144</v>
      </c>
      <c r="AW193" s="263"/>
      <c r="AX193" s="267">
        <v>9.4831076090105544</v>
      </c>
      <c r="AY193" s="263"/>
      <c r="AZ193" s="267">
        <v>16.482623139004563</v>
      </c>
      <c r="BA193" s="263"/>
      <c r="BB193" s="267">
        <v>11.823826550483082</v>
      </c>
      <c r="BC193" s="263"/>
      <c r="BD193" s="267">
        <v>10.411526622760253</v>
      </c>
      <c r="BE193" s="263"/>
      <c r="BF193" s="267">
        <v>12.832039868144419</v>
      </c>
      <c r="BG193" s="263"/>
      <c r="BH193" s="267">
        <v>21.178392729500661</v>
      </c>
      <c r="BI193" s="263"/>
      <c r="BJ193" s="267">
        <v>20.461680806686847</v>
      </c>
      <c r="BK193" s="263"/>
      <c r="BL193" s="193">
        <v>14.90895433092647</v>
      </c>
      <c r="BM193" s="189"/>
      <c r="BN193" s="193">
        <v>13.284893747340069</v>
      </c>
      <c r="BO193" s="189"/>
      <c r="BP193" s="193">
        <v>13.32656115982282</v>
      </c>
      <c r="BQ193" s="189"/>
      <c r="BR193" s="193">
        <v>11.231979984225893</v>
      </c>
      <c r="BS193" s="189"/>
      <c r="BT193" s="207">
        <v>13.736652950674515</v>
      </c>
      <c r="BU193" s="203"/>
      <c r="BV193" s="207">
        <v>11.456300664494666</v>
      </c>
      <c r="BW193" s="203"/>
      <c r="BX193" s="207">
        <v>15.081328207805356</v>
      </c>
      <c r="BY193" s="203"/>
      <c r="BZ193" s="207">
        <v>16.787148990215446</v>
      </c>
      <c r="CA193" s="203"/>
      <c r="CB193" s="207">
        <v>13.336156583707378</v>
      </c>
      <c r="CC193" s="203"/>
      <c r="CD193" s="207">
        <v>7.2164234541631513</v>
      </c>
      <c r="CE193" s="203"/>
      <c r="CF193" s="207">
        <v>12.454874246795033</v>
      </c>
      <c r="CG193" s="203"/>
      <c r="CH193" s="207">
        <v>9.1342847672667098</v>
      </c>
      <c r="CI193" s="203"/>
      <c r="CJ193" s="221">
        <v>14.983419595249851</v>
      </c>
      <c r="CK193" s="217"/>
      <c r="CL193" s="221">
        <v>13.437414600174545</v>
      </c>
      <c r="CM193" s="217"/>
      <c r="CN193" s="221">
        <v>11.293947343165168</v>
      </c>
      <c r="CO193" s="217"/>
      <c r="CP193" s="221">
        <v>9.2960269168640526</v>
      </c>
      <c r="CQ193" s="217"/>
      <c r="CR193" s="251">
        <v>18.760717457206724</v>
      </c>
      <c r="CS193" s="247"/>
      <c r="CT193" s="251">
        <v>14.986410102536651</v>
      </c>
      <c r="CU193" s="247"/>
      <c r="CV193" s="251">
        <v>10.509144006013958</v>
      </c>
      <c r="CW193" s="247"/>
      <c r="CX193" s="251">
        <v>10.118363862154609</v>
      </c>
      <c r="CY193" s="247"/>
      <c r="CZ193" s="236">
        <v>15.53733190850391</v>
      </c>
      <c r="DA193" s="232"/>
      <c r="DB193" s="236">
        <v>11.884042195529318</v>
      </c>
      <c r="DC193" s="232"/>
      <c r="DD193" s="236">
        <v>9.2034866499044661</v>
      </c>
      <c r="DE193" s="232"/>
      <c r="DF193" s="236">
        <v>7.8870690464550846</v>
      </c>
      <c r="DG193" s="232"/>
      <c r="DH193" s="236">
        <v>15.7304579095288</v>
      </c>
      <c r="DI193" s="232"/>
      <c r="DJ193" s="236">
        <v>17.279465136991945</v>
      </c>
      <c r="DK193" s="232"/>
      <c r="DL193" s="267">
        <v>7.9980911818140381</v>
      </c>
      <c r="DM193" s="263"/>
      <c r="DN193" s="267">
        <v>6.9838137595693111</v>
      </c>
      <c r="DO193" s="263"/>
      <c r="DP193" s="267">
        <v>21.337912909368463</v>
      </c>
      <c r="DQ193" s="263"/>
      <c r="DR193" s="267">
        <v>19.787193651878429</v>
      </c>
      <c r="DS193" s="263"/>
      <c r="DT193" s="267">
        <v>11.221539781125314</v>
      </c>
      <c r="DU193" s="263"/>
      <c r="DV193" s="267">
        <v>12.011347305524955</v>
      </c>
      <c r="DW193" s="263"/>
      <c r="DX193" s="193">
        <v>13.358947395419221</v>
      </c>
      <c r="DY193" s="189"/>
      <c r="DZ193" s="193">
        <v>10.142024710462051</v>
      </c>
      <c r="EA193" s="189"/>
      <c r="EB193" s="193">
        <v>12.417499499530328</v>
      </c>
      <c r="EC193" s="189"/>
      <c r="ED193" s="193">
        <v>8.5526874150879468</v>
      </c>
      <c r="EE193" s="189"/>
      <c r="EF193" s="193">
        <v>16.980837963323797</v>
      </c>
      <c r="EG193" s="189"/>
      <c r="EH193" s="193">
        <v>18.802517154074778</v>
      </c>
      <c r="EI193" s="189"/>
    </row>
    <row r="194" spans="1:139" outlineLevel="1" x14ac:dyDescent="0.2">
      <c r="A194"/>
      <c r="B194"/>
      <c r="E194" s="187"/>
      <c r="G194" s="187"/>
      <c r="I194" s="201"/>
      <c r="K194" s="201"/>
      <c r="M194" s="201"/>
      <c r="O194" s="201"/>
      <c r="Q194" s="215"/>
      <c r="S194" s="215"/>
      <c r="U194" s="215"/>
      <c r="W194" s="215"/>
      <c r="Y194" s="245"/>
      <c r="AA194" s="245"/>
      <c r="AC194" s="245"/>
      <c r="AE194" s="245"/>
      <c r="AG194" s="245"/>
      <c r="AI194" s="245"/>
      <c r="AK194" s="230"/>
      <c r="AM194" s="230"/>
      <c r="AO194" s="230"/>
      <c r="AQ194" s="230"/>
      <c r="AS194" s="230"/>
      <c r="AU194" s="230"/>
      <c r="AW194" s="261"/>
      <c r="AY194" s="261"/>
      <c r="BA194" s="261"/>
      <c r="BC194" s="261"/>
      <c r="BE194" s="261"/>
      <c r="BG194" s="261"/>
      <c r="BI194" s="261"/>
      <c r="BK194" s="261"/>
      <c r="BM194" s="187"/>
      <c r="BO194" s="187"/>
      <c r="BQ194" s="187"/>
      <c r="BS194" s="187"/>
      <c r="BU194" s="201"/>
      <c r="BW194" s="201"/>
      <c r="BY194" s="201"/>
      <c r="CA194" s="201"/>
      <c r="CC194" s="201"/>
      <c r="CE194" s="201"/>
      <c r="CG194" s="201"/>
      <c r="CI194" s="201"/>
      <c r="CK194" s="215"/>
      <c r="CM194" s="215"/>
      <c r="CO194" s="215"/>
      <c r="CQ194" s="215"/>
      <c r="CS194" s="245"/>
      <c r="CU194" s="245"/>
      <c r="CW194" s="245"/>
      <c r="CY194" s="245"/>
      <c r="DA194" s="230"/>
      <c r="DC194" s="230"/>
      <c r="DE194" s="230"/>
      <c r="DG194" s="230"/>
      <c r="DI194" s="230"/>
      <c r="DK194" s="230"/>
      <c r="DM194" s="261"/>
      <c r="DO194" s="261"/>
      <c r="DQ194" s="261"/>
      <c r="DS194" s="261"/>
      <c r="DU194" s="261"/>
      <c r="DW194" s="261"/>
      <c r="DY194" s="187"/>
      <c r="EA194" s="187"/>
      <c r="EC194" s="187"/>
      <c r="EE194" s="187"/>
      <c r="EG194" s="187"/>
      <c r="EI194" s="187"/>
    </row>
    <row r="195" spans="1:139" x14ac:dyDescent="0.2">
      <c r="A195"/>
      <c r="B195"/>
      <c r="E195" s="187"/>
      <c r="G195" s="187"/>
      <c r="I195" s="201"/>
      <c r="K195" s="201"/>
      <c r="M195" s="201"/>
      <c r="O195" s="201"/>
      <c r="Q195" s="215"/>
      <c r="S195" s="215"/>
      <c r="U195" s="215"/>
      <c r="W195" s="215"/>
      <c r="Y195" s="245"/>
      <c r="AA195" s="245"/>
      <c r="AC195" s="245"/>
      <c r="AE195" s="245"/>
      <c r="AG195" s="245"/>
      <c r="AI195" s="245"/>
      <c r="AK195" s="230"/>
      <c r="AM195" s="230"/>
      <c r="AO195" s="230"/>
      <c r="AQ195" s="230"/>
      <c r="AS195" s="230"/>
      <c r="AU195" s="230"/>
      <c r="AW195" s="261"/>
      <c r="AY195" s="261"/>
      <c r="BA195" s="261"/>
      <c r="BC195" s="261"/>
      <c r="BE195" s="261"/>
      <c r="BG195" s="261"/>
      <c r="BI195" s="261"/>
      <c r="BK195" s="261"/>
      <c r="BM195" s="187"/>
      <c r="BO195" s="187"/>
      <c r="BQ195" s="187"/>
      <c r="BS195" s="187"/>
      <c r="BU195" s="201"/>
      <c r="BW195" s="201"/>
      <c r="BY195" s="201"/>
      <c r="CA195" s="201"/>
      <c r="CC195" s="201"/>
      <c r="CE195" s="201"/>
      <c r="CG195" s="201"/>
      <c r="CI195" s="201"/>
      <c r="CK195" s="215"/>
      <c r="CM195" s="215"/>
      <c r="CO195" s="215"/>
      <c r="CQ195" s="215"/>
      <c r="CS195" s="245"/>
      <c r="CU195" s="245"/>
      <c r="CW195" s="245"/>
      <c r="CY195" s="245"/>
      <c r="DA195" s="230"/>
      <c r="DC195" s="230"/>
      <c r="DE195" s="230"/>
      <c r="DG195" s="230"/>
      <c r="DI195" s="230"/>
      <c r="DK195" s="230"/>
      <c r="DM195" s="261"/>
      <c r="DO195" s="261"/>
      <c r="DQ195" s="261"/>
      <c r="DS195" s="261"/>
      <c r="DU195" s="261"/>
      <c r="DW195" s="261"/>
      <c r="DY195" s="187"/>
      <c r="EA195" s="187"/>
      <c r="EC195" s="187"/>
      <c r="EE195" s="187"/>
      <c r="EG195" s="187"/>
      <c r="EI195" s="187"/>
    </row>
    <row r="196" spans="1:139" x14ac:dyDescent="0.2">
      <c r="A196" s="6" t="s">
        <v>161</v>
      </c>
      <c r="B196" s="7" t="s">
        <v>162</v>
      </c>
      <c r="E196" s="187"/>
      <c r="G196" s="187"/>
      <c r="I196" s="201"/>
      <c r="K196" s="201"/>
      <c r="M196" s="201"/>
      <c r="O196" s="201"/>
      <c r="Q196" s="215"/>
      <c r="S196" s="215"/>
      <c r="U196" s="215"/>
      <c r="W196" s="215"/>
      <c r="Y196" s="245"/>
      <c r="AA196" s="245"/>
      <c r="AC196" s="245"/>
      <c r="AE196" s="245"/>
      <c r="AG196" s="245"/>
      <c r="AI196" s="245"/>
      <c r="AK196" s="230"/>
      <c r="AM196" s="230"/>
      <c r="AO196" s="230"/>
      <c r="AQ196" s="230"/>
      <c r="AS196" s="230"/>
      <c r="AU196" s="230"/>
      <c r="AW196" s="261"/>
      <c r="AY196" s="261"/>
      <c r="BA196" s="261"/>
      <c r="BC196" s="261"/>
      <c r="BE196" s="261"/>
      <c r="BG196" s="261"/>
      <c r="BI196" s="261"/>
      <c r="BK196" s="261"/>
      <c r="BM196" s="187"/>
      <c r="BO196" s="187"/>
      <c r="BQ196" s="187"/>
      <c r="BS196" s="187"/>
      <c r="BU196" s="201"/>
      <c r="BW196" s="201"/>
      <c r="BY196" s="201"/>
      <c r="CA196" s="201"/>
      <c r="CC196" s="201"/>
      <c r="CE196" s="201"/>
      <c r="CG196" s="201"/>
      <c r="CI196" s="201"/>
      <c r="CK196" s="215"/>
      <c r="CM196" s="215"/>
      <c r="CO196" s="215"/>
      <c r="CQ196" s="215"/>
      <c r="CS196" s="245"/>
      <c r="CU196" s="245"/>
      <c r="CW196" s="245"/>
      <c r="CY196" s="245"/>
      <c r="DA196" s="230"/>
      <c r="DC196" s="230"/>
      <c r="DE196" s="230"/>
      <c r="DG196" s="230"/>
      <c r="DI196" s="230"/>
      <c r="DK196" s="230"/>
      <c r="DM196" s="261"/>
      <c r="DO196" s="261"/>
      <c r="DQ196" s="261"/>
      <c r="DS196" s="261"/>
      <c r="DU196" s="261"/>
      <c r="DW196" s="261"/>
      <c r="DY196" s="187"/>
      <c r="EA196" s="187"/>
      <c r="EC196" s="187"/>
      <c r="EE196" s="187"/>
      <c r="EG196" s="187"/>
      <c r="EI196" s="187"/>
    </row>
    <row r="197" spans="1:139" outlineLevel="1" x14ac:dyDescent="0.2">
      <c r="A197"/>
      <c r="B197" s="9" t="s">
        <v>55</v>
      </c>
      <c r="C197" s="8">
        <f>1883.05224610559+89.9477538944136</f>
        <v>1973.0000000000036</v>
      </c>
      <c r="D197" s="188">
        <f>967.527394309411+37.4726056905894</f>
        <v>1005.0000000000003</v>
      </c>
      <c r="E197" s="189"/>
      <c r="F197" s="188">
        <f>915.674025315765+52.3259746842352</f>
        <v>968.00000000000023</v>
      </c>
      <c r="G197" s="189"/>
      <c r="H197" s="202">
        <f>614.914712703891+25.0852872961091</f>
        <v>640.00000000000011</v>
      </c>
      <c r="I197" s="203"/>
      <c r="J197" s="202">
        <f>571.592789928119+29.4072100718807</f>
        <v>600.99999999999977</v>
      </c>
      <c r="K197" s="203"/>
      <c r="L197" s="202">
        <f>352.928444129701+12.0715558702993</f>
        <v>365.00000000000028</v>
      </c>
      <c r="M197" s="203"/>
      <c r="N197" s="202">
        <f>344.344915978557+22.6550840214431</f>
        <v>367.00000000000011</v>
      </c>
      <c r="O197" s="203"/>
      <c r="P197" s="216">
        <f>666.134795233083+26.8652047669171</f>
        <v>693.00000000000011</v>
      </c>
      <c r="Q197" s="217"/>
      <c r="R197" s="216">
        <f>628.589973530577+34.410026469423</f>
        <v>663</v>
      </c>
      <c r="S197" s="217"/>
      <c r="T197" s="216">
        <f>301.732918900987+10.2670810990132</f>
        <v>312.00000000000017</v>
      </c>
      <c r="U197" s="217"/>
      <c r="V197" s="216">
        <f>287.140440951688+17.8595590483123</f>
        <v>305.00000000000028</v>
      </c>
      <c r="W197" s="217"/>
      <c r="X197" s="246">
        <f>108.171904333963+4.82809566603692</f>
        <v>112.99999999999991</v>
      </c>
      <c r="Y197" s="247"/>
      <c r="Z197" s="246">
        <f>100.435584999034+3.56441500096641</f>
        <v>104.00000000000041</v>
      </c>
      <c r="AA197" s="247"/>
      <c r="AB197" s="246">
        <f>97.1245187341028+1.87548126589725</f>
        <v>99.000000000000043</v>
      </c>
      <c r="AC197" s="247"/>
      <c r="AD197" s="246">
        <f>89.7922517565178+7.20774824348219</f>
        <v>96.999999999999986</v>
      </c>
      <c r="AE197" s="247"/>
      <c r="AF197" s="246">
        <f>83.2058580005259+5.79414199947415</f>
        <v>89.000000000000043</v>
      </c>
      <c r="AG197" s="247"/>
      <c r="AH197" s="246">
        <f>105.139139086837+4.86086091316319</f>
        <v>110.0000000000002</v>
      </c>
      <c r="AI197" s="247"/>
      <c r="AJ197" s="231">
        <f>81.347414494191+3.65258550580896</f>
        <v>84.999999999999957</v>
      </c>
      <c r="AK197" s="232"/>
      <c r="AL197" s="231">
        <f>86.7773955885698+3.22260441143024</f>
        <v>90.000000000000043</v>
      </c>
      <c r="AM197" s="232"/>
      <c r="AN197" s="231">
        <f>91.2486792832434+1.75132071675662</f>
        <v>93.000000000000028</v>
      </c>
      <c r="AO197" s="232"/>
      <c r="AP197" s="231">
        <f>61.5558959595598+3.44410404044016</f>
        <v>64.999999999999957</v>
      </c>
      <c r="AQ197" s="232"/>
      <c r="AR197" s="231">
        <f>72.5600476663241+5.43995233367595</f>
        <v>78.000000000000043</v>
      </c>
      <c r="AS197" s="232"/>
      <c r="AT197" s="231">
        <f>96.2370441283936+4.76295587160638</f>
        <v>100.99999999999999</v>
      </c>
      <c r="AU197" s="232"/>
      <c r="AV197" s="262">
        <f>197.715853616343+7.284146383657</f>
        <v>205</v>
      </c>
      <c r="AW197" s="263"/>
      <c r="AX197" s="262">
        <f>222.310601003113+7.68939899688726</f>
        <v>230.00000000000026</v>
      </c>
      <c r="AY197" s="263"/>
      <c r="AZ197" s="262">
        <f>392.403354729256+13.5966452707435</f>
        <v>405.99999999999955</v>
      </c>
      <c r="BA197" s="263"/>
      <c r="BB197" s="262">
        <f>346.728378469888+22.2716215301122</f>
        <v>369.00000000000023</v>
      </c>
      <c r="BC197" s="263"/>
      <c r="BD197" s="262">
        <f>154.550159416201+5.44984058379873</f>
        <v>159.99999999999974</v>
      </c>
      <c r="BE197" s="263"/>
      <c r="BF197" s="262">
        <f>156.704083884388+5.29591611561236</f>
        <v>162.00000000000037</v>
      </c>
      <c r="BG197" s="263"/>
      <c r="BH197" s="262">
        <f>230.339276084846+3.66072391515439</f>
        <v>234.0000000000004</v>
      </c>
      <c r="BI197" s="263"/>
      <c r="BJ197" s="262">
        <f>200.935318042598+6.06468195740226</f>
        <v>207.00000000000026</v>
      </c>
      <c r="BK197" s="263"/>
      <c r="BL197" s="188">
        <f>467.920890025199+23.0791099748013</f>
        <v>491.00000000000034</v>
      </c>
      <c r="BM197" s="189"/>
      <c r="BN197" s="188">
        <f>455.419752172956+21.5802478270436</f>
        <v>476.9999999999996</v>
      </c>
      <c r="BO197" s="189"/>
      <c r="BP197" s="188">
        <f>499.920187868175+14.0798121318251</f>
        <v>514.00000000000011</v>
      </c>
      <c r="BQ197" s="189"/>
      <c r="BR197" s="188">
        <f>460.279012276745+30.7209877232551</f>
        <v>491.00000000000011</v>
      </c>
      <c r="BS197" s="189"/>
      <c r="BT197" s="202">
        <f>199.012276964019+5.98772303598091</f>
        <v>204.99999999999991</v>
      </c>
      <c r="BU197" s="203"/>
      <c r="BV197" s="202">
        <f>181.014059701763+4.98594029823695</f>
        <v>185.99999999999994</v>
      </c>
      <c r="BW197" s="203"/>
      <c r="BX197" s="202">
        <f>358.107365326749+11.8926346732514</f>
        <v>370.0000000000004</v>
      </c>
      <c r="BY197" s="203"/>
      <c r="BZ197" s="202">
        <f>390.539964767126+7.46003523287402</f>
        <v>398</v>
      </c>
      <c r="CA197" s="203"/>
      <c r="CB197" s="202">
        <f>216.489006579472+5.51099342052765</f>
        <v>221.99999999999966</v>
      </c>
      <c r="CC197" s="203"/>
      <c r="CD197" s="202">
        <f>193.528998687179+8.47100131282144</f>
        <v>202.00000000000045</v>
      </c>
      <c r="CE197" s="203"/>
      <c r="CF197" s="202">
        <f>196.54096017015+11.45903982985</f>
        <v>208</v>
      </c>
      <c r="CG197" s="203"/>
      <c r="CH197" s="202">
        <f>168.225931261699+13.7740687383015</f>
        <v>182.00000000000051</v>
      </c>
      <c r="CI197" s="203"/>
      <c r="CJ197" s="216">
        <f>434.967758722076+15.0322412779238</f>
        <v>449.99999999999977</v>
      </c>
      <c r="CK197" s="217"/>
      <c r="CL197" s="216">
        <f>461.320453395883+26.6795466041166</f>
        <v>487.9999999999996</v>
      </c>
      <c r="CM197" s="217"/>
      <c r="CN197" s="216">
        <f>499.832494257641+21.1675057423587</f>
        <v>520.99999999999966</v>
      </c>
      <c r="CO197" s="217"/>
      <c r="CP197" s="216">
        <f>419.228434557519+23.7715654424807</f>
        <v>442.99999999999972</v>
      </c>
      <c r="CQ197" s="217"/>
      <c r="CR197" s="246">
        <f>278.600721225599+9.39927877440061</f>
        <v>287.9999999999996</v>
      </c>
      <c r="CS197" s="247"/>
      <c r="CT197" s="246">
        <f>288.303155214841+11.696844785159</f>
        <v>300</v>
      </c>
      <c r="CU197" s="247"/>
      <c r="CV197" s="246">
        <f>687.2765940079+27.7234059920997</f>
        <v>714.99999999999977</v>
      </c>
      <c r="CW197" s="247"/>
      <c r="CX197" s="246">
        <f>623.292717768491+39.7072822315085</f>
        <v>662.99999999999955</v>
      </c>
      <c r="CY197" s="247"/>
      <c r="CZ197" s="231">
        <f>692.423144809988+22.576855190012</f>
        <v>715</v>
      </c>
      <c r="DA197" s="232"/>
      <c r="DB197" s="231">
        <f>663.537743943924+34.4622560560761</f>
        <v>698.00000000000011</v>
      </c>
      <c r="DC197" s="232"/>
      <c r="DD197" s="231">
        <f>144.910200171351+8.08979982864935</f>
        <v>153.00000000000034</v>
      </c>
      <c r="DE197" s="232"/>
      <c r="DF197" s="231">
        <f>147.583017202747+10.4169827972532</f>
        <v>158.0000000000002</v>
      </c>
      <c r="DG197" s="232"/>
      <c r="DH197" s="231">
        <f>137.928914326619+13.0710856733805</f>
        <v>150.99999999999952</v>
      </c>
      <c r="DI197" s="232"/>
      <c r="DJ197" s="231">
        <f>128.919238413463+7.08076158653716</f>
        <v>136.00000000000017</v>
      </c>
      <c r="DK197" s="232"/>
      <c r="DL197" s="262">
        <f>413.862071051737+17.1379289482628</f>
        <v>430.99999999999983</v>
      </c>
      <c r="DM197" s="263"/>
      <c r="DN197" s="262">
        <f>357.90141607247+21.0985839275298</f>
        <v>378.99999999999977</v>
      </c>
      <c r="DO197" s="263"/>
      <c r="DP197" s="262">
        <f>241.873526237823+8.1264737621774</f>
        <v>250.0000000000004</v>
      </c>
      <c r="DQ197" s="263"/>
      <c r="DR197" s="262">
        <f>256.512738009862+13.4872619901379</f>
        <v>269.99999999999989</v>
      </c>
      <c r="DS197" s="263"/>
      <c r="DT197" s="262">
        <f>225.871080498257+9.12891950174273</f>
        <v>234.99999999999972</v>
      </c>
      <c r="DU197" s="263"/>
      <c r="DV197" s="262">
        <f>199.781557066392+11.2184429336075</f>
        <v>210.99999999999949</v>
      </c>
      <c r="DW197" s="263"/>
      <c r="DX197" s="188">
        <f>259.270985115657+12.7290148843434</f>
        <v>272.00000000000045</v>
      </c>
      <c r="DY197" s="189"/>
      <c r="DZ197" s="188">
        <f>303.859853266346+18.1401467336542</f>
        <v>322.00000000000023</v>
      </c>
      <c r="EA197" s="189"/>
      <c r="EB197" s="188">
        <f>517.130870757899+18.8691292421007</f>
        <v>535.99999999999966</v>
      </c>
      <c r="EC197" s="189"/>
      <c r="ED197" s="188">
        <f>405.927020493304+22.0729795066961</f>
        <v>428.00000000000011</v>
      </c>
      <c r="EE197" s="189"/>
      <c r="EF197" s="188">
        <f>191.387221855571+5.61277814442948</f>
        <v>197.00000000000048</v>
      </c>
      <c r="EG197" s="189"/>
      <c r="EH197" s="188">
        <f>206.572842939928+11.4271570600716</f>
        <v>217.9999999999996</v>
      </c>
      <c r="EI197" s="189"/>
    </row>
    <row r="198" spans="1:139" s="18" customFormat="1" outlineLevel="1" x14ac:dyDescent="0.2">
      <c r="A198"/>
      <c r="B198" s="16"/>
      <c r="C198" s="17" t="s">
        <v>167</v>
      </c>
      <c r="D198" s="190" t="s">
        <v>167</v>
      </c>
      <c r="E198" s="191"/>
      <c r="F198" s="190" t="s">
        <v>167</v>
      </c>
      <c r="G198" s="191"/>
      <c r="H198" s="204" t="s">
        <v>167</v>
      </c>
      <c r="I198" s="205"/>
      <c r="J198" s="204" t="s">
        <v>167</v>
      </c>
      <c r="K198" s="205"/>
      <c r="L198" s="204" t="s">
        <v>167</v>
      </c>
      <c r="M198" s="205"/>
      <c r="N198" s="204" t="s">
        <v>167</v>
      </c>
      <c r="O198" s="205"/>
      <c r="P198" s="218" t="s">
        <v>167</v>
      </c>
      <c r="Q198" s="219"/>
      <c r="R198" s="218" t="s">
        <v>167</v>
      </c>
      <c r="S198" s="219"/>
      <c r="T198" s="218" t="s">
        <v>167</v>
      </c>
      <c r="U198" s="219"/>
      <c r="V198" s="218" t="s">
        <v>167</v>
      </c>
      <c r="W198" s="219"/>
      <c r="X198" s="248" t="s">
        <v>167</v>
      </c>
      <c r="Y198" s="249"/>
      <c r="Z198" s="248" t="s">
        <v>167</v>
      </c>
      <c r="AA198" s="249"/>
      <c r="AB198" s="248" t="s">
        <v>167</v>
      </c>
      <c r="AC198" s="249"/>
      <c r="AD198" s="248" t="s">
        <v>167</v>
      </c>
      <c r="AE198" s="249"/>
      <c r="AF198" s="248" t="s">
        <v>167</v>
      </c>
      <c r="AG198" s="249"/>
      <c r="AH198" s="248" t="s">
        <v>167</v>
      </c>
      <c r="AI198" s="249"/>
      <c r="AJ198" s="233" t="s">
        <v>167</v>
      </c>
      <c r="AK198" s="234"/>
      <c r="AL198" s="233" t="s">
        <v>167</v>
      </c>
      <c r="AM198" s="234"/>
      <c r="AN198" s="233" t="s">
        <v>167</v>
      </c>
      <c r="AO198" s="234"/>
      <c r="AP198" s="233" t="s">
        <v>167</v>
      </c>
      <c r="AQ198" s="234"/>
      <c r="AR198" s="233" t="s">
        <v>167</v>
      </c>
      <c r="AS198" s="234"/>
      <c r="AT198" s="233" t="s">
        <v>167</v>
      </c>
      <c r="AU198" s="234"/>
      <c r="AV198" s="264" t="s">
        <v>167</v>
      </c>
      <c r="AW198" s="265"/>
      <c r="AX198" s="264" t="s">
        <v>167</v>
      </c>
      <c r="AY198" s="265"/>
      <c r="AZ198" s="264" t="s">
        <v>167</v>
      </c>
      <c r="BA198" s="265"/>
      <c r="BB198" s="264" t="s">
        <v>167</v>
      </c>
      <c r="BC198" s="265"/>
      <c r="BD198" s="264" t="s">
        <v>167</v>
      </c>
      <c r="BE198" s="265"/>
      <c r="BF198" s="264" t="s">
        <v>167</v>
      </c>
      <c r="BG198" s="265"/>
      <c r="BH198" s="264" t="s">
        <v>167</v>
      </c>
      <c r="BI198" s="265"/>
      <c r="BJ198" s="264" t="s">
        <v>167</v>
      </c>
      <c r="BK198" s="265"/>
      <c r="BL198" s="190" t="s">
        <v>167</v>
      </c>
      <c r="BM198" s="191"/>
      <c r="BN198" s="190" t="s">
        <v>167</v>
      </c>
      <c r="BO198" s="191"/>
      <c r="BP198" s="190" t="s">
        <v>167</v>
      </c>
      <c r="BQ198" s="191"/>
      <c r="BR198" s="190" t="s">
        <v>167</v>
      </c>
      <c r="BS198" s="191"/>
      <c r="BT198" s="204" t="s">
        <v>167</v>
      </c>
      <c r="BU198" s="205"/>
      <c r="BV198" s="204" t="s">
        <v>167</v>
      </c>
      <c r="BW198" s="205"/>
      <c r="BX198" s="204" t="s">
        <v>167</v>
      </c>
      <c r="BY198" s="205"/>
      <c r="BZ198" s="204" t="s">
        <v>167</v>
      </c>
      <c r="CA198" s="205"/>
      <c r="CB198" s="204" t="s">
        <v>167</v>
      </c>
      <c r="CC198" s="205"/>
      <c r="CD198" s="204" t="s">
        <v>167</v>
      </c>
      <c r="CE198" s="205"/>
      <c r="CF198" s="204" t="s">
        <v>167</v>
      </c>
      <c r="CG198" s="205"/>
      <c r="CH198" s="204" t="s">
        <v>167</v>
      </c>
      <c r="CI198" s="205"/>
      <c r="CJ198" s="218" t="s">
        <v>167</v>
      </c>
      <c r="CK198" s="219"/>
      <c r="CL198" s="218" t="s">
        <v>167</v>
      </c>
      <c r="CM198" s="219"/>
      <c r="CN198" s="218" t="s">
        <v>167</v>
      </c>
      <c r="CO198" s="219"/>
      <c r="CP198" s="218" t="s">
        <v>167</v>
      </c>
      <c r="CQ198" s="219"/>
      <c r="CR198" s="248" t="s">
        <v>167</v>
      </c>
      <c r="CS198" s="249"/>
      <c r="CT198" s="248" t="s">
        <v>167</v>
      </c>
      <c r="CU198" s="249"/>
      <c r="CV198" s="248" t="s">
        <v>167</v>
      </c>
      <c r="CW198" s="249"/>
      <c r="CX198" s="248" t="s">
        <v>167</v>
      </c>
      <c r="CY198" s="249"/>
      <c r="CZ198" s="233" t="s">
        <v>167</v>
      </c>
      <c r="DA198" s="234"/>
      <c r="DB198" s="233" t="s">
        <v>167</v>
      </c>
      <c r="DC198" s="234"/>
      <c r="DD198" s="233" t="s">
        <v>167</v>
      </c>
      <c r="DE198" s="234"/>
      <c r="DF198" s="233" t="s">
        <v>167</v>
      </c>
      <c r="DG198" s="234"/>
      <c r="DH198" s="233" t="s">
        <v>167</v>
      </c>
      <c r="DI198" s="234"/>
      <c r="DJ198" s="233" t="s">
        <v>167</v>
      </c>
      <c r="DK198" s="234"/>
      <c r="DL198" s="264" t="s">
        <v>167</v>
      </c>
      <c r="DM198" s="265"/>
      <c r="DN198" s="264" t="s">
        <v>167</v>
      </c>
      <c r="DO198" s="265"/>
      <c r="DP198" s="264" t="s">
        <v>167</v>
      </c>
      <c r="DQ198" s="265"/>
      <c r="DR198" s="264" t="s">
        <v>167</v>
      </c>
      <c r="DS198" s="265"/>
      <c r="DT198" s="264" t="s">
        <v>167</v>
      </c>
      <c r="DU198" s="265"/>
      <c r="DV198" s="264" t="s">
        <v>167</v>
      </c>
      <c r="DW198" s="265"/>
      <c r="DX198" s="190" t="s">
        <v>167</v>
      </c>
      <c r="DY198" s="191"/>
      <c r="DZ198" s="190" t="s">
        <v>167</v>
      </c>
      <c r="EA198" s="191"/>
      <c r="EB198" s="190" t="s">
        <v>167</v>
      </c>
      <c r="EC198" s="191"/>
      <c r="ED198" s="190" t="s">
        <v>167</v>
      </c>
      <c r="EE198" s="191"/>
      <c r="EF198" s="190" t="s">
        <v>167</v>
      </c>
      <c r="EG198" s="191"/>
      <c r="EH198" s="190" t="s">
        <v>167</v>
      </c>
      <c r="EI198" s="191"/>
    </row>
    <row r="199" spans="1:139" outlineLevel="1" x14ac:dyDescent="0.2">
      <c r="A199"/>
      <c r="B199"/>
      <c r="E199" s="187"/>
      <c r="G199" s="187"/>
      <c r="I199" s="201"/>
      <c r="K199" s="201"/>
      <c r="M199" s="201"/>
      <c r="O199" s="201"/>
      <c r="Q199" s="215"/>
      <c r="S199" s="215"/>
      <c r="U199" s="215"/>
      <c r="W199" s="215"/>
      <c r="Y199" s="245"/>
      <c r="AA199" s="245"/>
      <c r="AC199" s="245"/>
      <c r="AE199" s="245"/>
      <c r="AG199" s="245"/>
      <c r="AI199" s="245"/>
      <c r="AK199" s="230"/>
      <c r="AM199" s="230"/>
      <c r="AO199" s="230"/>
      <c r="AQ199" s="230"/>
      <c r="AS199" s="230"/>
      <c r="AU199" s="230"/>
      <c r="AW199" s="261"/>
      <c r="AY199" s="261"/>
      <c r="BA199" s="261"/>
      <c r="BC199" s="261"/>
      <c r="BE199" s="261"/>
      <c r="BG199" s="261"/>
      <c r="BI199" s="261"/>
      <c r="BK199" s="261"/>
      <c r="BM199" s="187"/>
      <c r="BO199" s="187"/>
      <c r="BQ199" s="187"/>
      <c r="BS199" s="187"/>
      <c r="BU199" s="201"/>
      <c r="BW199" s="201"/>
      <c r="BY199" s="201"/>
      <c r="CA199" s="201"/>
      <c r="CC199" s="201"/>
      <c r="CE199" s="201"/>
      <c r="CG199" s="201"/>
      <c r="CI199" s="201"/>
      <c r="CK199" s="215"/>
      <c r="CM199" s="215"/>
      <c r="CO199" s="215"/>
      <c r="CQ199" s="215"/>
      <c r="CS199" s="245"/>
      <c r="CU199" s="245"/>
      <c r="CW199" s="245"/>
      <c r="CY199" s="245"/>
      <c r="DA199" s="230"/>
      <c r="DC199" s="230"/>
      <c r="DE199" s="230"/>
      <c r="DG199" s="230"/>
      <c r="DI199" s="230"/>
      <c r="DK199" s="230"/>
      <c r="DM199" s="261"/>
      <c r="DO199" s="261"/>
      <c r="DQ199" s="261"/>
      <c r="DS199" s="261"/>
      <c r="DU199" s="261"/>
      <c r="DW199" s="261"/>
      <c r="DY199" s="187"/>
      <c r="EA199" s="187"/>
      <c r="EC199" s="187"/>
      <c r="EE199" s="187"/>
      <c r="EG199" s="187"/>
      <c r="EI199" s="187"/>
    </row>
    <row r="200" spans="1:139" outlineLevel="1" x14ac:dyDescent="0.2">
      <c r="A200"/>
      <c r="B200" s="7" t="s">
        <v>148</v>
      </c>
      <c r="C200" s="10">
        <v>64.257321244498669</v>
      </c>
      <c r="D200" s="192">
        <v>66.213017865665279</v>
      </c>
      <c r="E200" s="189"/>
      <c r="F200" s="192">
        <v>62.227341338608994</v>
      </c>
      <c r="G200" s="189"/>
      <c r="H200" s="206">
        <v>72.351862984129596</v>
      </c>
      <c r="I200" s="203"/>
      <c r="J200" s="206">
        <v>70.918191267764186</v>
      </c>
      <c r="K200" s="203"/>
      <c r="L200" s="206">
        <v>55.90926550807464</v>
      </c>
      <c r="M200" s="203" t="s">
        <v>182</v>
      </c>
      <c r="N200" s="206">
        <v>48.295632606577847</v>
      </c>
      <c r="O200" s="203"/>
      <c r="P200" s="220">
        <v>73.294810266447641</v>
      </c>
      <c r="Q200" s="217"/>
      <c r="R200" s="220">
        <v>72.276624035929387</v>
      </c>
      <c r="S200" s="217"/>
      <c r="T200" s="220">
        <v>51.19442685324119</v>
      </c>
      <c r="U200" s="217" t="s">
        <v>186</v>
      </c>
      <c r="V200" s="220">
        <v>40.595917276695531</v>
      </c>
      <c r="W200" s="217"/>
      <c r="X200" s="250">
        <v>69.155339016297333</v>
      </c>
      <c r="Y200" s="247"/>
      <c r="Z200" s="250">
        <v>61.899205066742226</v>
      </c>
      <c r="AA200" s="247" t="s">
        <v>190</v>
      </c>
      <c r="AB200" s="250">
        <v>41.485785216310219</v>
      </c>
      <c r="AC200" s="247"/>
      <c r="AD200" s="250">
        <v>74.548186827365313</v>
      </c>
      <c r="AE200" s="247"/>
      <c r="AF200" s="250">
        <v>36.610134145733312</v>
      </c>
      <c r="AG200" s="247"/>
      <c r="AH200" s="250">
        <v>39.077775879416066</v>
      </c>
      <c r="AI200" s="247"/>
      <c r="AJ200" s="235">
        <v>60.550607401561493</v>
      </c>
      <c r="AK200" s="232"/>
      <c r="AL200" s="235">
        <v>60.399948769813058</v>
      </c>
      <c r="AM200" s="232" t="s">
        <v>196</v>
      </c>
      <c r="AN200" s="235">
        <v>39.866009066364875</v>
      </c>
      <c r="AO200" s="232"/>
      <c r="AP200" s="235">
        <v>63.400271028429984</v>
      </c>
      <c r="AQ200" s="232"/>
      <c r="AR200" s="235">
        <v>30.654240994671952</v>
      </c>
      <c r="AS200" s="232"/>
      <c r="AT200" s="235">
        <v>33.679347539686063</v>
      </c>
      <c r="AU200" s="232"/>
      <c r="AV200" s="266">
        <v>70.590647278677736</v>
      </c>
      <c r="AW200" s="263"/>
      <c r="AX200" s="266">
        <v>62.151618497137441</v>
      </c>
      <c r="AY200" s="263"/>
      <c r="AZ200" s="266">
        <v>63.702945600617269</v>
      </c>
      <c r="BA200" s="263"/>
      <c r="BB200" s="266">
        <v>65.021706939989144</v>
      </c>
      <c r="BC200" s="263"/>
      <c r="BD200" s="266">
        <v>67.669313131232414</v>
      </c>
      <c r="BE200" s="263"/>
      <c r="BF200" s="266">
        <v>61.691290880323834</v>
      </c>
      <c r="BG200" s="263"/>
      <c r="BH200" s="266">
        <v>65.79145912153632</v>
      </c>
      <c r="BI200" s="263" t="s">
        <v>178</v>
      </c>
      <c r="BJ200" s="266">
        <v>56.565125272656765</v>
      </c>
      <c r="BK200" s="263"/>
      <c r="BL200" s="192">
        <v>64.201116862177017</v>
      </c>
      <c r="BM200" s="189"/>
      <c r="BN200" s="192">
        <v>61.715366114713305</v>
      </c>
      <c r="BO200" s="189"/>
      <c r="BP200" s="192">
        <v>68.16519401429548</v>
      </c>
      <c r="BQ200" s="189"/>
      <c r="BR200" s="192">
        <v>62.728672420387312</v>
      </c>
      <c r="BS200" s="189"/>
      <c r="BT200" s="206">
        <v>68.986515105967626</v>
      </c>
      <c r="BU200" s="203"/>
      <c r="BV200" s="206">
        <v>68.428636857383538</v>
      </c>
      <c r="BW200" s="203"/>
      <c r="BX200" s="206">
        <v>65.163322714274599</v>
      </c>
      <c r="BY200" s="203"/>
      <c r="BZ200" s="206">
        <v>59.601464532450336</v>
      </c>
      <c r="CA200" s="203"/>
      <c r="CB200" s="206">
        <v>63.549932735758809</v>
      </c>
      <c r="CC200" s="203"/>
      <c r="CD200" s="206">
        <v>58.371914431813998</v>
      </c>
      <c r="CE200" s="203"/>
      <c r="CF200" s="206">
        <v>68.179271708683473</v>
      </c>
      <c r="CG200" s="203"/>
      <c r="CH200" s="206">
        <v>65.128250937586898</v>
      </c>
      <c r="CI200" s="203"/>
      <c r="CJ200" s="220">
        <v>66.039337234096777</v>
      </c>
      <c r="CK200" s="217" t="s">
        <v>112</v>
      </c>
      <c r="CL200" s="220">
        <v>57.465801382989596</v>
      </c>
      <c r="CM200" s="217"/>
      <c r="CN200" s="220">
        <v>66.744252989310098</v>
      </c>
      <c r="CO200" s="217"/>
      <c r="CP200" s="220">
        <v>68.88044501699045</v>
      </c>
      <c r="CQ200" s="217"/>
      <c r="CR200" s="250">
        <v>60.976255736310577</v>
      </c>
      <c r="CS200" s="247"/>
      <c r="CT200" s="250">
        <v>53.472350223979802</v>
      </c>
      <c r="CU200" s="247"/>
      <c r="CV200" s="250">
        <v>68.322430787015037</v>
      </c>
      <c r="CW200" s="247"/>
      <c r="CX200" s="250">
        <v>66.223010691501415</v>
      </c>
      <c r="CY200" s="247"/>
      <c r="CZ200" s="235">
        <v>64.136138651293692</v>
      </c>
      <c r="DA200" s="232"/>
      <c r="DB200" s="235">
        <v>59.710589432923051</v>
      </c>
      <c r="DC200" s="232"/>
      <c r="DD200" s="235">
        <v>70.592239758652454</v>
      </c>
      <c r="DE200" s="232"/>
      <c r="DF200" s="235">
        <v>66.850206532356736</v>
      </c>
      <c r="DG200" s="232"/>
      <c r="DH200" s="235">
        <v>68.068634163349472</v>
      </c>
      <c r="DI200" s="232"/>
      <c r="DJ200" s="235">
        <v>69.987237495320187</v>
      </c>
      <c r="DK200" s="232"/>
      <c r="DL200" s="266">
        <v>76.951639279763384</v>
      </c>
      <c r="DM200" s="263"/>
      <c r="DN200" s="266">
        <v>78.082972902792605</v>
      </c>
      <c r="DO200" s="263"/>
      <c r="DP200" s="266">
        <v>58.114136781908023</v>
      </c>
      <c r="DQ200" s="263"/>
      <c r="DR200" s="266">
        <v>51.862045209297747</v>
      </c>
      <c r="DS200" s="263"/>
      <c r="DT200" s="266">
        <v>60.618818315036435</v>
      </c>
      <c r="DU200" s="263"/>
      <c r="DV200" s="266">
        <v>53.527574948993802</v>
      </c>
      <c r="DW200" s="263"/>
      <c r="DX200" s="192">
        <v>72.432002390468014</v>
      </c>
      <c r="DY200" s="189"/>
      <c r="DZ200" s="192">
        <v>71.532244021316174</v>
      </c>
      <c r="EA200" s="189"/>
      <c r="EB200" s="192">
        <v>66.138654490609511</v>
      </c>
      <c r="EC200" s="189"/>
      <c r="ED200" s="192">
        <v>61.587663008221732</v>
      </c>
      <c r="EE200" s="189"/>
      <c r="EF200" s="192">
        <v>58.030247156122357</v>
      </c>
      <c r="EG200" s="189"/>
      <c r="EH200" s="192">
        <v>48.988982594310613</v>
      </c>
      <c r="EI200" s="189"/>
    </row>
    <row r="201" spans="1:139" outlineLevel="1" x14ac:dyDescent="0.2">
      <c r="A201"/>
      <c r="B201" s="11" t="s">
        <v>149</v>
      </c>
      <c r="C201" s="12">
        <v>30.39221533701021</v>
      </c>
      <c r="D201" s="193">
        <v>32.163377351455722</v>
      </c>
      <c r="E201" s="189"/>
      <c r="F201" s="193">
        <v>28.553779221466527</v>
      </c>
      <c r="G201" s="189"/>
      <c r="H201" s="207">
        <v>35.56014485131314</v>
      </c>
      <c r="I201" s="203"/>
      <c r="J201" s="207">
        <v>32.676963972440092</v>
      </c>
      <c r="K201" s="203"/>
      <c r="L201" s="207">
        <v>26.462068642823802</v>
      </c>
      <c r="M201" s="203"/>
      <c r="N201" s="207">
        <v>21.944182983219221</v>
      </c>
      <c r="O201" s="203"/>
      <c r="P201" s="221">
        <v>36.793902987094526</v>
      </c>
      <c r="Q201" s="217"/>
      <c r="R201" s="221">
        <v>34.66551814009101</v>
      </c>
      <c r="S201" s="217"/>
      <c r="T201" s="221">
        <v>22.34326871814962</v>
      </c>
      <c r="U201" s="217" t="s">
        <v>186</v>
      </c>
      <c r="V201" s="221">
        <v>15.398052560525963</v>
      </c>
      <c r="W201" s="217"/>
      <c r="X201" s="251">
        <v>37.592994565766205</v>
      </c>
      <c r="Y201" s="247"/>
      <c r="Z201" s="251">
        <v>29.655873545877146</v>
      </c>
      <c r="AA201" s="247" t="s">
        <v>190</v>
      </c>
      <c r="AB201" s="251">
        <v>14.463040775537825</v>
      </c>
      <c r="AC201" s="247"/>
      <c r="AD201" s="251">
        <v>48.722658206712303</v>
      </c>
      <c r="AE201" s="247"/>
      <c r="AF201" s="251">
        <v>13.20841323595414</v>
      </c>
      <c r="AG201" s="247"/>
      <c r="AH201" s="251">
        <v>10.955920041004614</v>
      </c>
      <c r="AI201" s="247"/>
      <c r="AJ201" s="236">
        <v>27.398367109181962</v>
      </c>
      <c r="AK201" s="232"/>
      <c r="AL201" s="236">
        <v>27.694442849634985</v>
      </c>
      <c r="AM201" s="232" t="s">
        <v>196</v>
      </c>
      <c r="AN201" s="236">
        <v>15.351848874430219</v>
      </c>
      <c r="AO201" s="232"/>
      <c r="AP201" s="236">
        <v>38.346633226342966</v>
      </c>
      <c r="AQ201" s="232"/>
      <c r="AR201" s="236">
        <v>10.175322007529072</v>
      </c>
      <c r="AS201" s="232"/>
      <c r="AT201" s="236">
        <v>7.0841293967759302</v>
      </c>
      <c r="AU201" s="232"/>
      <c r="AV201" s="267">
        <v>34.948490529269073</v>
      </c>
      <c r="AW201" s="263"/>
      <c r="AX201" s="267">
        <v>31.073682822250351</v>
      </c>
      <c r="AY201" s="263"/>
      <c r="AZ201" s="267">
        <v>31.477463902624912</v>
      </c>
      <c r="BA201" s="263"/>
      <c r="BB201" s="267">
        <v>33.522261359668512</v>
      </c>
      <c r="BC201" s="263"/>
      <c r="BD201" s="267">
        <v>36.850853674616715</v>
      </c>
      <c r="BE201" s="263" t="s">
        <v>176</v>
      </c>
      <c r="BF201" s="267">
        <v>26.103829369995033</v>
      </c>
      <c r="BG201" s="263"/>
      <c r="BH201" s="267">
        <v>27.124540129519207</v>
      </c>
      <c r="BI201" s="263" t="s">
        <v>178</v>
      </c>
      <c r="BJ201" s="267">
        <v>16.691887017945298</v>
      </c>
      <c r="BK201" s="263"/>
      <c r="BL201" s="193">
        <v>30.327405154675535</v>
      </c>
      <c r="BM201" s="189"/>
      <c r="BN201" s="193">
        <v>28.529892270756527</v>
      </c>
      <c r="BO201" s="189"/>
      <c r="BP201" s="193">
        <v>33.944847277604282</v>
      </c>
      <c r="BQ201" s="189"/>
      <c r="BR201" s="193">
        <v>28.577169554203152</v>
      </c>
      <c r="BS201" s="189"/>
      <c r="BT201" s="207">
        <v>33.708379723529198</v>
      </c>
      <c r="BU201" s="203"/>
      <c r="BV201" s="207">
        <v>25.264943540583669</v>
      </c>
      <c r="BW201" s="203"/>
      <c r="BX201" s="207">
        <v>30.999753983283362</v>
      </c>
      <c r="BY201" s="203"/>
      <c r="BZ201" s="207">
        <v>31.477089023137374</v>
      </c>
      <c r="CA201" s="203"/>
      <c r="CB201" s="207">
        <v>28.692662912822755</v>
      </c>
      <c r="CC201" s="203"/>
      <c r="CD201" s="207">
        <v>28.268954861494315</v>
      </c>
      <c r="CE201" s="203"/>
      <c r="CF201" s="207">
        <v>36.215990893495587</v>
      </c>
      <c r="CG201" s="203"/>
      <c r="CH201" s="207">
        <v>26.943094514618384</v>
      </c>
      <c r="CI201" s="203"/>
      <c r="CJ201" s="221">
        <v>33.759001024435328</v>
      </c>
      <c r="CK201" s="217" t="s">
        <v>112</v>
      </c>
      <c r="CL201" s="221">
        <v>27.290609581474143</v>
      </c>
      <c r="CM201" s="217"/>
      <c r="CN201" s="221">
        <v>30.549172444214772</v>
      </c>
      <c r="CO201" s="217"/>
      <c r="CP201" s="221">
        <v>31.130574959942269</v>
      </c>
      <c r="CQ201" s="217"/>
      <c r="CR201" s="251">
        <v>33.205178455552804</v>
      </c>
      <c r="CS201" s="247" t="s">
        <v>220</v>
      </c>
      <c r="CT201" s="251">
        <v>24.254261760336028</v>
      </c>
      <c r="CU201" s="247"/>
      <c r="CV201" s="251">
        <v>31.699997556163765</v>
      </c>
      <c r="CW201" s="247"/>
      <c r="CX201" s="251">
        <v>30.495488025122821</v>
      </c>
      <c r="CY201" s="247"/>
      <c r="CZ201" s="236">
        <v>26.828107126562593</v>
      </c>
      <c r="DA201" s="232"/>
      <c r="DB201" s="236">
        <v>25.321593239274826</v>
      </c>
      <c r="DC201" s="232"/>
      <c r="DD201" s="236">
        <v>46.516383759035982</v>
      </c>
      <c r="DE201" s="232"/>
      <c r="DF201" s="236">
        <v>38.187982783969488</v>
      </c>
      <c r="DG201" s="232"/>
      <c r="DH201" s="236">
        <v>40.777434298815137</v>
      </c>
      <c r="DI201" s="232"/>
      <c r="DJ201" s="236">
        <v>37.674510202349026</v>
      </c>
      <c r="DK201" s="232"/>
      <c r="DL201" s="267">
        <v>43.32947180414083</v>
      </c>
      <c r="DM201" s="263"/>
      <c r="DN201" s="267">
        <v>45.446116399174315</v>
      </c>
      <c r="DO201" s="263"/>
      <c r="DP201" s="267">
        <v>22.126633735907919</v>
      </c>
      <c r="DQ201" s="263"/>
      <c r="DR201" s="267">
        <v>17.849467152979642</v>
      </c>
      <c r="DS201" s="263"/>
      <c r="DT201" s="267">
        <v>25.650154980127915</v>
      </c>
      <c r="DU201" s="263" t="s">
        <v>233</v>
      </c>
      <c r="DV201" s="267">
        <v>15.176986081677073</v>
      </c>
      <c r="DW201" s="263"/>
      <c r="DX201" s="193">
        <v>41.924812310910248</v>
      </c>
      <c r="DY201" s="189"/>
      <c r="DZ201" s="193">
        <v>38.829900044895794</v>
      </c>
      <c r="EA201" s="189"/>
      <c r="EB201" s="193">
        <v>31.301991670137767</v>
      </c>
      <c r="EC201" s="189"/>
      <c r="ED201" s="193">
        <v>26.754135075032384</v>
      </c>
      <c r="EE201" s="189"/>
      <c r="EF201" s="193">
        <v>21.260497733299591</v>
      </c>
      <c r="EG201" s="189"/>
      <c r="EH201" s="193">
        <v>16.081073994441237</v>
      </c>
      <c r="EI201" s="189"/>
    </row>
    <row r="202" spans="1:139" outlineLevel="1" x14ac:dyDescent="0.2">
      <c r="A202"/>
      <c r="B202" s="11" t="s">
        <v>150</v>
      </c>
      <c r="C202" s="12">
        <v>33.865105907488456</v>
      </c>
      <c r="D202" s="193">
        <v>34.049640514209564</v>
      </c>
      <c r="E202" s="189"/>
      <c r="F202" s="193">
        <v>33.673562117142467</v>
      </c>
      <c r="G202" s="189"/>
      <c r="H202" s="207">
        <v>36.791718132816463</v>
      </c>
      <c r="I202" s="203"/>
      <c r="J202" s="207">
        <v>38.241227295324101</v>
      </c>
      <c r="K202" s="203"/>
      <c r="L202" s="207">
        <v>29.447196865250838</v>
      </c>
      <c r="M202" s="203"/>
      <c r="N202" s="207">
        <v>26.351449623358626</v>
      </c>
      <c r="O202" s="203"/>
      <c r="P202" s="221">
        <v>36.500907279353115</v>
      </c>
      <c r="Q202" s="217"/>
      <c r="R202" s="221">
        <v>37.611105895838378</v>
      </c>
      <c r="S202" s="217"/>
      <c r="T202" s="221">
        <v>28.851158135091566</v>
      </c>
      <c r="U202" s="217"/>
      <c r="V202" s="221">
        <v>25.197864716169569</v>
      </c>
      <c r="W202" s="217"/>
      <c r="X202" s="251">
        <v>31.562344450531135</v>
      </c>
      <c r="Y202" s="247"/>
      <c r="Z202" s="251">
        <v>32.243331520865084</v>
      </c>
      <c r="AA202" s="247"/>
      <c r="AB202" s="251">
        <v>27.022744440772392</v>
      </c>
      <c r="AC202" s="247"/>
      <c r="AD202" s="251">
        <v>25.825528620653014</v>
      </c>
      <c r="AE202" s="247"/>
      <c r="AF202" s="251">
        <v>23.401720909779176</v>
      </c>
      <c r="AG202" s="247"/>
      <c r="AH202" s="251">
        <v>28.121855838411452</v>
      </c>
      <c r="AI202" s="247"/>
      <c r="AJ202" s="236">
        <v>33.152240292379531</v>
      </c>
      <c r="AK202" s="232"/>
      <c r="AL202" s="236">
        <v>32.705505920178069</v>
      </c>
      <c r="AM202" s="232"/>
      <c r="AN202" s="236">
        <v>24.51416019193465</v>
      </c>
      <c r="AO202" s="232"/>
      <c r="AP202" s="236">
        <v>25.053637802087014</v>
      </c>
      <c r="AQ202" s="232"/>
      <c r="AR202" s="236">
        <v>20.478918987142883</v>
      </c>
      <c r="AS202" s="232"/>
      <c r="AT202" s="236">
        <v>26.595218142910134</v>
      </c>
      <c r="AU202" s="232"/>
      <c r="AV202" s="267">
        <v>35.642156749408656</v>
      </c>
      <c r="AW202" s="263"/>
      <c r="AX202" s="267">
        <v>31.077935674887094</v>
      </c>
      <c r="AY202" s="263"/>
      <c r="AZ202" s="267">
        <v>32.225481697992358</v>
      </c>
      <c r="BA202" s="263"/>
      <c r="BB202" s="267">
        <v>31.499445580320625</v>
      </c>
      <c r="BC202" s="263"/>
      <c r="BD202" s="267">
        <v>30.818459456615695</v>
      </c>
      <c r="BE202" s="263"/>
      <c r="BF202" s="267">
        <v>35.587461510328801</v>
      </c>
      <c r="BG202" s="263"/>
      <c r="BH202" s="267">
        <v>38.666918992017116</v>
      </c>
      <c r="BI202" s="263"/>
      <c r="BJ202" s="267">
        <v>39.873238254711467</v>
      </c>
      <c r="BK202" s="263"/>
      <c r="BL202" s="193">
        <v>33.873711707501485</v>
      </c>
      <c r="BM202" s="189"/>
      <c r="BN202" s="193">
        <v>33.185473843956778</v>
      </c>
      <c r="BO202" s="189"/>
      <c r="BP202" s="193">
        <v>34.220346736691198</v>
      </c>
      <c r="BQ202" s="189"/>
      <c r="BR202" s="193">
        <v>34.15150286618416</v>
      </c>
      <c r="BS202" s="189"/>
      <c r="BT202" s="207">
        <v>35.278135382438428</v>
      </c>
      <c r="BU202" s="203"/>
      <c r="BV202" s="207">
        <v>43.163693316799872</v>
      </c>
      <c r="BW202" s="203"/>
      <c r="BX202" s="207">
        <v>34.16356873099123</v>
      </c>
      <c r="BY202" s="203"/>
      <c r="BZ202" s="207">
        <v>28.124375509312966</v>
      </c>
      <c r="CA202" s="203"/>
      <c r="CB202" s="207">
        <v>34.857269822936054</v>
      </c>
      <c r="CC202" s="203"/>
      <c r="CD202" s="207">
        <v>30.102959570319683</v>
      </c>
      <c r="CE202" s="203"/>
      <c r="CF202" s="207">
        <v>31.96328081518789</v>
      </c>
      <c r="CG202" s="203"/>
      <c r="CH202" s="207">
        <v>38.185156422968511</v>
      </c>
      <c r="CI202" s="203"/>
      <c r="CJ202" s="221">
        <v>32.280336209661449</v>
      </c>
      <c r="CK202" s="217"/>
      <c r="CL202" s="221">
        <v>30.175191801515453</v>
      </c>
      <c r="CM202" s="217"/>
      <c r="CN202" s="221">
        <v>36.19508054509533</v>
      </c>
      <c r="CO202" s="217"/>
      <c r="CP202" s="221">
        <v>37.749870057048177</v>
      </c>
      <c r="CQ202" s="217"/>
      <c r="CR202" s="251">
        <v>27.771077280757773</v>
      </c>
      <c r="CS202" s="247"/>
      <c r="CT202" s="251">
        <v>29.218088463643777</v>
      </c>
      <c r="CU202" s="247"/>
      <c r="CV202" s="251">
        <v>36.622433230851271</v>
      </c>
      <c r="CW202" s="247"/>
      <c r="CX202" s="251">
        <v>35.727522666378597</v>
      </c>
      <c r="CY202" s="247"/>
      <c r="CZ202" s="236">
        <v>37.308031524731099</v>
      </c>
      <c r="DA202" s="232"/>
      <c r="DB202" s="236">
        <v>34.388996193648218</v>
      </c>
      <c r="DC202" s="232"/>
      <c r="DD202" s="236">
        <v>24.075855999616472</v>
      </c>
      <c r="DE202" s="232"/>
      <c r="DF202" s="236">
        <v>28.662223748387248</v>
      </c>
      <c r="DG202" s="232"/>
      <c r="DH202" s="236">
        <v>27.291199864534327</v>
      </c>
      <c r="DI202" s="232"/>
      <c r="DJ202" s="236">
        <v>32.312727292971161</v>
      </c>
      <c r="DK202" s="232"/>
      <c r="DL202" s="267">
        <v>33.622167475622561</v>
      </c>
      <c r="DM202" s="263"/>
      <c r="DN202" s="267">
        <v>32.636856503618297</v>
      </c>
      <c r="DO202" s="263"/>
      <c r="DP202" s="267">
        <v>35.9875030460001</v>
      </c>
      <c r="DQ202" s="263"/>
      <c r="DR202" s="267">
        <v>34.012578056318105</v>
      </c>
      <c r="DS202" s="263"/>
      <c r="DT202" s="267">
        <v>34.96866333490852</v>
      </c>
      <c r="DU202" s="263"/>
      <c r="DV202" s="267">
        <v>38.350588867316731</v>
      </c>
      <c r="DW202" s="263"/>
      <c r="DX202" s="193">
        <v>30.507190079557763</v>
      </c>
      <c r="DY202" s="189"/>
      <c r="DZ202" s="193">
        <v>32.70234397642038</v>
      </c>
      <c r="EA202" s="189"/>
      <c r="EB202" s="193">
        <v>34.836662820471744</v>
      </c>
      <c r="EC202" s="189"/>
      <c r="ED202" s="193">
        <v>34.833527933189352</v>
      </c>
      <c r="EE202" s="189"/>
      <c r="EF202" s="193">
        <v>36.769749422822763</v>
      </c>
      <c r="EG202" s="189"/>
      <c r="EH202" s="193">
        <v>32.907908599869373</v>
      </c>
      <c r="EI202" s="189"/>
    </row>
    <row r="203" spans="1:139" outlineLevel="1" x14ac:dyDescent="0.2">
      <c r="A203"/>
      <c r="B203" s="7"/>
      <c r="E203" s="187"/>
      <c r="G203" s="187"/>
      <c r="I203" s="201"/>
      <c r="K203" s="201"/>
      <c r="M203" s="201"/>
      <c r="O203" s="201"/>
      <c r="Q203" s="215"/>
      <c r="S203" s="215"/>
      <c r="U203" s="215"/>
      <c r="W203" s="215"/>
      <c r="Y203" s="245"/>
      <c r="AA203" s="245"/>
      <c r="AC203" s="245"/>
      <c r="AE203" s="245"/>
      <c r="AG203" s="245"/>
      <c r="AI203" s="245"/>
      <c r="AK203" s="230"/>
      <c r="AM203" s="230"/>
      <c r="AO203" s="230"/>
      <c r="AQ203" s="230"/>
      <c r="AS203" s="230"/>
      <c r="AU203" s="230"/>
      <c r="AW203" s="261"/>
      <c r="AY203" s="261"/>
      <c r="BA203" s="261"/>
      <c r="BC203" s="261"/>
      <c r="BE203" s="261"/>
      <c r="BG203" s="261"/>
      <c r="BI203" s="261"/>
      <c r="BK203" s="261"/>
      <c r="BM203" s="187"/>
      <c r="BO203" s="187"/>
      <c r="BQ203" s="187"/>
      <c r="BS203" s="187"/>
      <c r="BU203" s="201"/>
      <c r="BW203" s="201"/>
      <c r="BY203" s="201"/>
      <c r="CA203" s="201"/>
      <c r="CC203" s="201"/>
      <c r="CE203" s="201"/>
      <c r="CG203" s="201"/>
      <c r="CI203" s="201"/>
      <c r="CK203" s="215"/>
      <c r="CM203" s="215"/>
      <c r="CO203" s="215"/>
      <c r="CQ203" s="215"/>
      <c r="CS203" s="245"/>
      <c r="CU203" s="245"/>
      <c r="CW203" s="245"/>
      <c r="CY203" s="245"/>
      <c r="DA203" s="230"/>
      <c r="DC203" s="230"/>
      <c r="DE203" s="230"/>
      <c r="DG203" s="230"/>
      <c r="DI203" s="230"/>
      <c r="DK203" s="230"/>
      <c r="DM203" s="261"/>
      <c r="DO203" s="261"/>
      <c r="DQ203" s="261"/>
      <c r="DS203" s="261"/>
      <c r="DU203" s="261"/>
      <c r="DW203" s="261"/>
      <c r="DY203" s="187"/>
      <c r="EA203" s="187"/>
      <c r="EC203" s="187"/>
      <c r="EE203" s="187"/>
      <c r="EG203" s="187"/>
      <c r="EI203" s="187"/>
    </row>
    <row r="204" spans="1:139" outlineLevel="1" x14ac:dyDescent="0.2">
      <c r="A204"/>
      <c r="B204" s="13" t="s">
        <v>151</v>
      </c>
      <c r="C204" s="12">
        <v>28.093882470360342</v>
      </c>
      <c r="D204" s="193">
        <v>26.923657017983889</v>
      </c>
      <c r="E204" s="189"/>
      <c r="F204" s="193">
        <v>29.308556631973296</v>
      </c>
      <c r="G204" s="189"/>
      <c r="H204" s="207">
        <v>22.457674848899817</v>
      </c>
      <c r="I204" s="203"/>
      <c r="J204" s="207">
        <v>23.112754060239034</v>
      </c>
      <c r="K204" s="203"/>
      <c r="L204" s="207">
        <v>34.419590441234881</v>
      </c>
      <c r="M204" s="203"/>
      <c r="N204" s="207">
        <v>39.240625128634349</v>
      </c>
      <c r="O204" s="203"/>
      <c r="P204" s="221">
        <v>21.918870797770637</v>
      </c>
      <c r="Q204" s="217"/>
      <c r="R204" s="221">
        <v>22.232928971279218</v>
      </c>
      <c r="S204" s="217"/>
      <c r="T204" s="221">
        <v>37.537472432524261</v>
      </c>
      <c r="U204" s="217"/>
      <c r="V204" s="221">
        <v>44.539086714830859</v>
      </c>
      <c r="W204" s="217"/>
      <c r="X204" s="251">
        <v>22.27955428737901</v>
      </c>
      <c r="Y204" s="247"/>
      <c r="Z204" s="251">
        <v>29.173878248083508</v>
      </c>
      <c r="AA204" s="247"/>
      <c r="AB204" s="251">
        <v>46.68502037990023</v>
      </c>
      <c r="AC204" s="247"/>
      <c r="AD204" s="251">
        <v>18.024357787256434</v>
      </c>
      <c r="AE204" s="247"/>
      <c r="AF204" s="251">
        <v>52.78038452994592</v>
      </c>
      <c r="AG204" s="247" t="s">
        <v>109</v>
      </c>
      <c r="AH204" s="251">
        <v>40.599882301573743</v>
      </c>
      <c r="AI204" s="247"/>
      <c r="AJ204" s="236">
        <v>28.193320931630922</v>
      </c>
      <c r="AK204" s="232"/>
      <c r="AL204" s="236">
        <v>29.304108572665161</v>
      </c>
      <c r="AM204" s="232"/>
      <c r="AN204" s="236">
        <v>47.577848168665291</v>
      </c>
      <c r="AO204" s="232"/>
      <c r="AP204" s="236">
        <v>25.180283693019074</v>
      </c>
      <c r="AQ204" s="232"/>
      <c r="AR204" s="236">
        <v>57.289714691219217</v>
      </c>
      <c r="AS204" s="232" t="s">
        <v>193</v>
      </c>
      <c r="AT204" s="236">
        <v>44.197511218940612</v>
      </c>
      <c r="AU204" s="232"/>
      <c r="AV204" s="267">
        <v>20.093530044320843</v>
      </c>
      <c r="AW204" s="263"/>
      <c r="AX204" s="267">
        <v>25.766982859092479</v>
      </c>
      <c r="AY204" s="263"/>
      <c r="AZ204" s="267">
        <v>27.056428778485664</v>
      </c>
      <c r="BA204" s="263"/>
      <c r="BB204" s="267">
        <v>26.662517174151084</v>
      </c>
      <c r="BC204" s="263"/>
      <c r="BD204" s="267">
        <v>29.812949429485105</v>
      </c>
      <c r="BE204" s="263"/>
      <c r="BF204" s="267">
        <v>29.789399724984825</v>
      </c>
      <c r="BG204" s="263"/>
      <c r="BH204" s="267">
        <v>31.729845889113051</v>
      </c>
      <c r="BI204" s="263"/>
      <c r="BJ204" s="267">
        <v>38.839871154079248</v>
      </c>
      <c r="BK204" s="263"/>
      <c r="BL204" s="193">
        <v>27.373393997603102</v>
      </c>
      <c r="BM204" s="189"/>
      <c r="BN204" s="193">
        <v>27.249594020331266</v>
      </c>
      <c r="BO204" s="189"/>
      <c r="BP204" s="193">
        <v>26.487270832357769</v>
      </c>
      <c r="BQ204" s="189"/>
      <c r="BR204" s="193">
        <v>31.324712698240148</v>
      </c>
      <c r="BS204" s="189"/>
      <c r="BT204" s="207">
        <v>23.201905588548964</v>
      </c>
      <c r="BU204" s="203"/>
      <c r="BV204" s="207">
        <v>24.590077508822297</v>
      </c>
      <c r="BW204" s="203"/>
      <c r="BX204" s="207">
        <v>26.412138794336276</v>
      </c>
      <c r="BY204" s="203"/>
      <c r="BZ204" s="207">
        <v>30.801164512818769</v>
      </c>
      <c r="CA204" s="203"/>
      <c r="CB204" s="207">
        <v>32.56695726797885</v>
      </c>
      <c r="CC204" s="203"/>
      <c r="CD204" s="207">
        <v>34.656126991134165</v>
      </c>
      <c r="CE204" s="203"/>
      <c r="CF204" s="207">
        <v>25.27334400644968</v>
      </c>
      <c r="CG204" s="203"/>
      <c r="CH204" s="207">
        <v>25.407224161670765</v>
      </c>
      <c r="CI204" s="203"/>
      <c r="CJ204" s="221">
        <v>26.791419824064171</v>
      </c>
      <c r="CK204" s="217"/>
      <c r="CL204" s="221">
        <v>33.233139696168877</v>
      </c>
      <c r="CM204" s="217" t="s">
        <v>216</v>
      </c>
      <c r="CN204" s="221">
        <v>26.857586918655201</v>
      </c>
      <c r="CO204" s="217"/>
      <c r="CP204" s="221">
        <v>24.788272753254116</v>
      </c>
      <c r="CQ204" s="217"/>
      <c r="CR204" s="251">
        <v>28.796304852423223</v>
      </c>
      <c r="CS204" s="247"/>
      <c r="CT204" s="251">
        <v>35.652480813700194</v>
      </c>
      <c r="CU204" s="247"/>
      <c r="CV204" s="251">
        <v>26.211083534805216</v>
      </c>
      <c r="CW204" s="247"/>
      <c r="CX204" s="251">
        <v>26.760020144511</v>
      </c>
      <c r="CY204" s="247"/>
      <c r="CZ204" s="236">
        <v>30.058290678427714</v>
      </c>
      <c r="DA204" s="232"/>
      <c r="DB204" s="236">
        <v>33.26746202549748</v>
      </c>
      <c r="DC204" s="232"/>
      <c r="DD204" s="236">
        <v>19.017008701250226</v>
      </c>
      <c r="DE204" s="232"/>
      <c r="DF204" s="236">
        <v>20.111417455401348</v>
      </c>
      <c r="DG204" s="232"/>
      <c r="DH204" s="236">
        <v>22.463635266674711</v>
      </c>
      <c r="DI204" s="232"/>
      <c r="DJ204" s="236">
        <v>20.15814650019276</v>
      </c>
      <c r="DK204" s="232"/>
      <c r="DL204" s="267">
        <v>18.132031016170163</v>
      </c>
      <c r="DM204" s="263"/>
      <c r="DN204" s="267">
        <v>15.513577455627045</v>
      </c>
      <c r="DO204" s="263"/>
      <c r="DP204" s="267">
        <v>34.288751844918458</v>
      </c>
      <c r="DQ204" s="263"/>
      <c r="DR204" s="267">
        <v>35.929319806240287</v>
      </c>
      <c r="DS204" s="263"/>
      <c r="DT204" s="267">
        <v>30.040542610531013</v>
      </c>
      <c r="DU204" s="263"/>
      <c r="DV204" s="267">
        <v>38.937777373985554</v>
      </c>
      <c r="DW204" s="263"/>
      <c r="DX204" s="193">
        <v>22.309378851828335</v>
      </c>
      <c r="DY204" s="189"/>
      <c r="DZ204" s="193">
        <v>20.351258290954707</v>
      </c>
      <c r="EA204" s="189"/>
      <c r="EB204" s="193">
        <v>27.529909023142409</v>
      </c>
      <c r="EC204" s="189"/>
      <c r="ED204" s="193">
        <v>31.157641415767952</v>
      </c>
      <c r="EE204" s="189"/>
      <c r="EF204" s="193">
        <v>31.558627573400493</v>
      </c>
      <c r="EG204" s="189"/>
      <c r="EH204" s="193">
        <v>39.629717914368392</v>
      </c>
      <c r="EI204" s="189"/>
    </row>
    <row r="205" spans="1:139" outlineLevel="1" x14ac:dyDescent="0.2">
      <c r="A205"/>
      <c r="B205" s="7"/>
      <c r="E205" s="187"/>
      <c r="G205" s="187"/>
      <c r="I205" s="201"/>
      <c r="K205" s="201"/>
      <c r="M205" s="201"/>
      <c r="O205" s="201"/>
      <c r="Q205" s="215"/>
      <c r="S205" s="215"/>
      <c r="U205" s="215"/>
      <c r="W205" s="215"/>
      <c r="Y205" s="245"/>
      <c r="AA205" s="245"/>
      <c r="AC205" s="245"/>
      <c r="AE205" s="245"/>
      <c r="AG205" s="245"/>
      <c r="AI205" s="245"/>
      <c r="AK205" s="230"/>
      <c r="AM205" s="230"/>
      <c r="AO205" s="230"/>
      <c r="AQ205" s="230"/>
      <c r="AS205" s="230"/>
      <c r="AU205" s="230"/>
      <c r="AW205" s="261"/>
      <c r="AY205" s="261"/>
      <c r="BA205" s="261"/>
      <c r="BC205" s="261"/>
      <c r="BE205" s="261"/>
      <c r="BG205" s="261"/>
      <c r="BI205" s="261"/>
      <c r="BK205" s="261"/>
      <c r="BM205" s="187"/>
      <c r="BO205" s="187"/>
      <c r="BQ205" s="187"/>
      <c r="BS205" s="187"/>
      <c r="BU205" s="201"/>
      <c r="BW205" s="201"/>
      <c r="BY205" s="201"/>
      <c r="CA205" s="201"/>
      <c r="CC205" s="201"/>
      <c r="CE205" s="201"/>
      <c r="CG205" s="201"/>
      <c r="CI205" s="201"/>
      <c r="CK205" s="215"/>
      <c r="CM205" s="215"/>
      <c r="CO205" s="215"/>
      <c r="CQ205" s="215"/>
      <c r="CS205" s="245"/>
      <c r="CU205" s="245"/>
      <c r="CW205" s="245"/>
      <c r="CY205" s="245"/>
      <c r="DA205" s="230"/>
      <c r="DC205" s="230"/>
      <c r="DE205" s="230"/>
      <c r="DG205" s="230"/>
      <c r="DI205" s="230"/>
      <c r="DK205" s="230"/>
      <c r="DM205" s="261"/>
      <c r="DO205" s="261"/>
      <c r="DQ205" s="261"/>
      <c r="DS205" s="261"/>
      <c r="DU205" s="261"/>
      <c r="DW205" s="261"/>
      <c r="DY205" s="187"/>
      <c r="EA205" s="187"/>
      <c r="EC205" s="187"/>
      <c r="EE205" s="187"/>
      <c r="EG205" s="187"/>
      <c r="EI205" s="187"/>
    </row>
    <row r="206" spans="1:139" outlineLevel="1" x14ac:dyDescent="0.2">
      <c r="A206"/>
      <c r="B206" s="7" t="s">
        <v>152</v>
      </c>
      <c r="C206" s="10">
        <v>7.6487962851409934</v>
      </c>
      <c r="D206" s="192">
        <v>6.8633251163508264</v>
      </c>
      <c r="E206" s="189"/>
      <c r="F206" s="192">
        <v>8.4641020294177114</v>
      </c>
      <c r="G206" s="189"/>
      <c r="H206" s="206">
        <v>5.1904621669705877</v>
      </c>
      <c r="I206" s="203"/>
      <c r="J206" s="206">
        <v>5.969054671996779</v>
      </c>
      <c r="K206" s="203"/>
      <c r="L206" s="206">
        <v>9.6711440506904882</v>
      </c>
      <c r="M206" s="203"/>
      <c r="N206" s="206">
        <v>12.463742264787804</v>
      </c>
      <c r="O206" s="203"/>
      <c r="P206" s="220">
        <v>4.7863189357817193</v>
      </c>
      <c r="Q206" s="217"/>
      <c r="R206" s="220">
        <v>5.4904469927913953</v>
      </c>
      <c r="S206" s="217"/>
      <c r="T206" s="220">
        <v>11.268100714234548</v>
      </c>
      <c r="U206" s="217"/>
      <c r="V206" s="220">
        <v>14.8649960084736</v>
      </c>
      <c r="W206" s="217"/>
      <c r="X206" s="250">
        <v>8.5651066963236477</v>
      </c>
      <c r="Y206" s="247"/>
      <c r="Z206" s="250">
        <v>8.9269166851742643</v>
      </c>
      <c r="AA206" s="247"/>
      <c r="AB206" s="250">
        <v>11.829194403789561</v>
      </c>
      <c r="AC206" s="247"/>
      <c r="AD206" s="250">
        <v>7.4274553853782432</v>
      </c>
      <c r="AE206" s="247"/>
      <c r="AF206" s="250">
        <v>10.609481324320772</v>
      </c>
      <c r="AG206" s="247"/>
      <c r="AH206" s="250">
        <v>20.322341819010195</v>
      </c>
      <c r="AI206" s="247"/>
      <c r="AJ206" s="235">
        <v>11.256071666807596</v>
      </c>
      <c r="AK206" s="232"/>
      <c r="AL206" s="235">
        <v>10.295942657521785</v>
      </c>
      <c r="AM206" s="232"/>
      <c r="AN206" s="235">
        <v>12.556142764969838</v>
      </c>
      <c r="AO206" s="232"/>
      <c r="AP206" s="235">
        <v>11.419445278550947</v>
      </c>
      <c r="AQ206" s="232"/>
      <c r="AR206" s="235">
        <v>12.056044314108831</v>
      </c>
      <c r="AS206" s="232"/>
      <c r="AT206" s="235">
        <v>22.123141241373325</v>
      </c>
      <c r="AU206" s="232"/>
      <c r="AV206" s="266">
        <v>9.3158226770014334</v>
      </c>
      <c r="AW206" s="263"/>
      <c r="AX206" s="266">
        <v>12.081398643770072</v>
      </c>
      <c r="AY206" s="263"/>
      <c r="AZ206" s="266">
        <v>9.2406256208970579</v>
      </c>
      <c r="BA206" s="263"/>
      <c r="BB206" s="266">
        <v>8.3157758858597752</v>
      </c>
      <c r="BC206" s="263"/>
      <c r="BD206" s="266">
        <v>2.5177374392824845</v>
      </c>
      <c r="BE206" s="263"/>
      <c r="BF206" s="266">
        <v>8.5193093946913425</v>
      </c>
      <c r="BG206" s="263" t="s">
        <v>175</v>
      </c>
      <c r="BH206" s="266">
        <v>2.478694989350632</v>
      </c>
      <c r="BI206" s="263"/>
      <c r="BJ206" s="266">
        <v>4.5950035732639778</v>
      </c>
      <c r="BK206" s="263"/>
      <c r="BL206" s="192">
        <v>8.4254891402198879</v>
      </c>
      <c r="BM206" s="189"/>
      <c r="BN206" s="192">
        <v>11.035039864955426</v>
      </c>
      <c r="BO206" s="189"/>
      <c r="BP206" s="192">
        <v>5.3475351533467572</v>
      </c>
      <c r="BQ206" s="189"/>
      <c r="BR206" s="192">
        <v>5.9466148813725468</v>
      </c>
      <c r="BS206" s="189"/>
      <c r="BT206" s="206">
        <v>7.8115793054834128</v>
      </c>
      <c r="BU206" s="203"/>
      <c r="BV206" s="206">
        <v>6.9812856337941538</v>
      </c>
      <c r="BW206" s="203"/>
      <c r="BX206" s="206">
        <v>8.4245384913891304</v>
      </c>
      <c r="BY206" s="203"/>
      <c r="BZ206" s="206">
        <v>9.5973709547309003</v>
      </c>
      <c r="CA206" s="203"/>
      <c r="CB206" s="206">
        <v>3.8831099962623483</v>
      </c>
      <c r="CC206" s="203"/>
      <c r="CD206" s="206">
        <v>6.9719585770518337</v>
      </c>
      <c r="CE206" s="203"/>
      <c r="CF206" s="206">
        <v>6.5473842848668493</v>
      </c>
      <c r="CG206" s="203"/>
      <c r="CH206" s="206">
        <v>9.4645249007423367</v>
      </c>
      <c r="CI206" s="203"/>
      <c r="CJ206" s="220">
        <v>7.1692429418390482</v>
      </c>
      <c r="CK206" s="217"/>
      <c r="CL206" s="220">
        <v>9.3010589208415251</v>
      </c>
      <c r="CM206" s="217"/>
      <c r="CN206" s="220">
        <v>6.3981600920346962</v>
      </c>
      <c r="CO206" s="217"/>
      <c r="CP206" s="220">
        <v>6.3312822297554314</v>
      </c>
      <c r="CQ206" s="217"/>
      <c r="CR206" s="250">
        <v>10.227439411266202</v>
      </c>
      <c r="CS206" s="247"/>
      <c r="CT206" s="250">
        <v>10.875168962320007</v>
      </c>
      <c r="CU206" s="247"/>
      <c r="CV206" s="250">
        <v>5.4664856781797377</v>
      </c>
      <c r="CW206" s="247"/>
      <c r="CX206" s="250">
        <v>7.0169691639875778</v>
      </c>
      <c r="CY206" s="247"/>
      <c r="CZ206" s="235">
        <v>5.8055706702786027</v>
      </c>
      <c r="DA206" s="232"/>
      <c r="DB206" s="235">
        <v>7.0219485415794756</v>
      </c>
      <c r="DC206" s="232"/>
      <c r="DD206" s="235">
        <v>10.39075154009732</v>
      </c>
      <c r="DE206" s="232"/>
      <c r="DF206" s="235">
        <v>13.038376012241919</v>
      </c>
      <c r="DG206" s="232"/>
      <c r="DH206" s="235">
        <v>9.467730569975819</v>
      </c>
      <c r="DI206" s="232"/>
      <c r="DJ206" s="235">
        <v>9.8546160044870579</v>
      </c>
      <c r="DK206" s="232"/>
      <c r="DL206" s="266">
        <v>4.9163297040664444</v>
      </c>
      <c r="DM206" s="263"/>
      <c r="DN206" s="266">
        <v>6.4034496415803517</v>
      </c>
      <c r="DO206" s="263"/>
      <c r="DP206" s="266">
        <v>7.5971113731735205</v>
      </c>
      <c r="DQ206" s="263"/>
      <c r="DR206" s="266">
        <v>12.208634984461964</v>
      </c>
      <c r="DS206" s="263"/>
      <c r="DT206" s="266">
        <v>9.3406390744325538</v>
      </c>
      <c r="DU206" s="263"/>
      <c r="DV206" s="266">
        <v>7.5346476770206463</v>
      </c>
      <c r="DW206" s="263"/>
      <c r="DX206" s="192">
        <v>5.2586187577036565</v>
      </c>
      <c r="DY206" s="189"/>
      <c r="DZ206" s="192">
        <v>8.1164976877291277</v>
      </c>
      <c r="EA206" s="189"/>
      <c r="EB206" s="192">
        <v>6.3314364862480836</v>
      </c>
      <c r="EC206" s="189"/>
      <c r="ED206" s="192">
        <v>7.2546955760103158</v>
      </c>
      <c r="EE206" s="189"/>
      <c r="EF206" s="192">
        <v>10.411125270477152</v>
      </c>
      <c r="EG206" s="189"/>
      <c r="EH206" s="192">
        <v>11.381299491320991</v>
      </c>
      <c r="EI206" s="189"/>
    </row>
    <row r="207" spans="1:139" outlineLevel="1" x14ac:dyDescent="0.2">
      <c r="A207"/>
      <c r="B207" s="11" t="s">
        <v>153</v>
      </c>
      <c r="C207" s="12">
        <v>3.2474133984900355</v>
      </c>
      <c r="D207" s="193">
        <v>2.7151793305395389</v>
      </c>
      <c r="E207" s="189"/>
      <c r="F207" s="193">
        <v>3.7998633293616901</v>
      </c>
      <c r="G207" s="189"/>
      <c r="H207" s="207">
        <v>2.7830862444899953</v>
      </c>
      <c r="I207" s="203"/>
      <c r="J207" s="207">
        <v>3.3047004140012683</v>
      </c>
      <c r="K207" s="203"/>
      <c r="L207" s="207">
        <v>2.601200884885456</v>
      </c>
      <c r="M207" s="203"/>
      <c r="N207" s="207">
        <v>4.5936252246813298</v>
      </c>
      <c r="O207" s="203"/>
      <c r="P207" s="221">
        <v>2.5663877249086555</v>
      </c>
      <c r="Q207" s="217"/>
      <c r="R207" s="221">
        <v>3.0873882765060747</v>
      </c>
      <c r="S207" s="217"/>
      <c r="T207" s="221">
        <v>3.0307266022733539</v>
      </c>
      <c r="U207" s="217"/>
      <c r="V207" s="221">
        <v>5.3334902026472362</v>
      </c>
      <c r="W207" s="217"/>
      <c r="X207" s="251">
        <v>4.9606038156703605</v>
      </c>
      <c r="Y207" s="247"/>
      <c r="Z207" s="251">
        <v>1.5823996569074186</v>
      </c>
      <c r="AA207" s="247"/>
      <c r="AB207" s="251">
        <v>2.3191972365170046</v>
      </c>
      <c r="AC207" s="247"/>
      <c r="AD207" s="251">
        <v>3.2380576511483175</v>
      </c>
      <c r="AE207" s="247"/>
      <c r="AF207" s="251">
        <v>4.5677098208821247</v>
      </c>
      <c r="AG207" s="247"/>
      <c r="AH207" s="251">
        <v>5.9805038251988538</v>
      </c>
      <c r="AI207" s="247"/>
      <c r="AJ207" s="236">
        <v>6.5191145936093662</v>
      </c>
      <c r="AK207" s="232"/>
      <c r="AL207" s="236">
        <v>1.8250754099519055</v>
      </c>
      <c r="AM207" s="232"/>
      <c r="AN207" s="236">
        <v>2.4617206047862554</v>
      </c>
      <c r="AO207" s="232"/>
      <c r="AP207" s="236">
        <v>4.9783970737642305</v>
      </c>
      <c r="AQ207" s="232"/>
      <c r="AR207" s="236">
        <v>5.1904999246577725</v>
      </c>
      <c r="AS207" s="232"/>
      <c r="AT207" s="236">
        <v>6.5104470733625206</v>
      </c>
      <c r="AU207" s="232"/>
      <c r="AV207" s="267">
        <v>4.6525322521055115</v>
      </c>
      <c r="AW207" s="263"/>
      <c r="AX207" s="267">
        <v>5.2868692458067583</v>
      </c>
      <c r="AY207" s="263"/>
      <c r="AZ207" s="267">
        <v>2.5903500459626243</v>
      </c>
      <c r="BA207" s="263"/>
      <c r="BB207" s="267">
        <v>3.4911624217209858</v>
      </c>
      <c r="BC207" s="263"/>
      <c r="BD207" s="267">
        <v>1.2352609771008227</v>
      </c>
      <c r="BE207" s="263"/>
      <c r="BF207" s="267">
        <v>5.3273375306573749</v>
      </c>
      <c r="BG207" s="263" t="s">
        <v>175</v>
      </c>
      <c r="BH207" s="267">
        <v>2.0349002101763083</v>
      </c>
      <c r="BI207" s="263"/>
      <c r="BJ207" s="267">
        <v>1.49956424278889</v>
      </c>
      <c r="BK207" s="263"/>
      <c r="BL207" s="193">
        <v>3.5450484999988658</v>
      </c>
      <c r="BM207" s="189"/>
      <c r="BN207" s="193">
        <v>5.1617430245117744</v>
      </c>
      <c r="BO207" s="189"/>
      <c r="BP207" s="193">
        <v>1.9099454764417645</v>
      </c>
      <c r="BQ207" s="189"/>
      <c r="BR207" s="193">
        <v>2.4662975844680841</v>
      </c>
      <c r="BS207" s="189"/>
      <c r="BT207" s="207">
        <v>3.2777831903290964</v>
      </c>
      <c r="BU207" s="203"/>
      <c r="BV207" s="207">
        <v>3.0875574012303439</v>
      </c>
      <c r="BW207" s="203"/>
      <c r="BX207" s="207">
        <v>3.7806462683013993</v>
      </c>
      <c r="BY207" s="203"/>
      <c r="BZ207" s="207">
        <v>4.2444972191548924</v>
      </c>
      <c r="CA207" s="203"/>
      <c r="CB207" s="207">
        <v>1.9508653946056373</v>
      </c>
      <c r="CC207" s="203"/>
      <c r="CD207" s="207">
        <v>3.5176397012838905</v>
      </c>
      <c r="CE207" s="203"/>
      <c r="CF207" s="207">
        <v>1.280911383359558</v>
      </c>
      <c r="CG207" s="203"/>
      <c r="CH207" s="207">
        <v>3.989853074166017</v>
      </c>
      <c r="CI207" s="203"/>
      <c r="CJ207" s="221">
        <v>2.6610733971150711</v>
      </c>
      <c r="CK207" s="217"/>
      <c r="CL207" s="221">
        <v>3.9096255508798525</v>
      </c>
      <c r="CM207" s="217"/>
      <c r="CN207" s="221">
        <v>2.677258647164638</v>
      </c>
      <c r="CO207" s="217"/>
      <c r="CP207" s="221">
        <v>3.0430297288203172</v>
      </c>
      <c r="CQ207" s="217"/>
      <c r="CR207" s="251">
        <v>3.8992999459647186</v>
      </c>
      <c r="CS207" s="247"/>
      <c r="CT207" s="251">
        <v>5.1679080509847291</v>
      </c>
      <c r="CU207" s="247"/>
      <c r="CV207" s="251">
        <v>2.2243537101555275</v>
      </c>
      <c r="CW207" s="247"/>
      <c r="CX207" s="251">
        <v>3.1070625986114893</v>
      </c>
      <c r="CY207" s="247"/>
      <c r="CZ207" s="236">
        <v>2.0828167617158444</v>
      </c>
      <c r="DA207" s="232"/>
      <c r="DB207" s="236">
        <v>2.8575656276102639</v>
      </c>
      <c r="DC207" s="232"/>
      <c r="DD207" s="236">
        <v>3.9205963832111412</v>
      </c>
      <c r="DE207" s="232"/>
      <c r="DF207" s="236">
        <v>7.6858707864232061</v>
      </c>
      <c r="DG207" s="232"/>
      <c r="DH207" s="236">
        <v>4.0489703075510777</v>
      </c>
      <c r="DI207" s="232"/>
      <c r="DJ207" s="236">
        <v>2.8865250497208814</v>
      </c>
      <c r="DK207" s="232"/>
      <c r="DL207" s="267">
        <v>3.1936185634873673</v>
      </c>
      <c r="DM207" s="263"/>
      <c r="DN207" s="267">
        <v>3.104520048156493</v>
      </c>
      <c r="DO207" s="263"/>
      <c r="DP207" s="267">
        <v>2.4181369644642827</v>
      </c>
      <c r="DQ207" s="263"/>
      <c r="DR207" s="267">
        <v>5.6223200940757065</v>
      </c>
      <c r="DS207" s="263"/>
      <c r="DT207" s="267">
        <v>3.196066459852922</v>
      </c>
      <c r="DU207" s="263"/>
      <c r="DV207" s="267">
        <v>2.8448423992368328</v>
      </c>
      <c r="DW207" s="263"/>
      <c r="DX207" s="193">
        <v>1.7777985283681321</v>
      </c>
      <c r="DY207" s="189"/>
      <c r="DZ207" s="193">
        <v>3.7788360575314908</v>
      </c>
      <c r="EA207" s="189"/>
      <c r="EB207" s="193">
        <v>2.7290548049963732</v>
      </c>
      <c r="EC207" s="189"/>
      <c r="ED207" s="193">
        <v>3.868366848921506</v>
      </c>
      <c r="EE207" s="189"/>
      <c r="EF207" s="193">
        <v>3.9416086303152755</v>
      </c>
      <c r="EG207" s="189"/>
      <c r="EH207" s="193">
        <v>3.6980534804227707</v>
      </c>
      <c r="EI207" s="189"/>
    </row>
    <row r="208" spans="1:139" outlineLevel="1" x14ac:dyDescent="0.2">
      <c r="A208"/>
      <c r="B208" s="11" t="s">
        <v>154</v>
      </c>
      <c r="C208" s="12">
        <v>4.4013828866509579</v>
      </c>
      <c r="D208" s="193">
        <v>4.1481457858112876</v>
      </c>
      <c r="E208" s="189"/>
      <c r="F208" s="193">
        <v>4.6642387000560221</v>
      </c>
      <c r="G208" s="189"/>
      <c r="H208" s="207">
        <v>2.4073759224805924</v>
      </c>
      <c r="I208" s="203"/>
      <c r="J208" s="207">
        <v>2.6643542579955106</v>
      </c>
      <c r="K208" s="203"/>
      <c r="L208" s="207">
        <v>7.0699431658050322</v>
      </c>
      <c r="M208" s="203"/>
      <c r="N208" s="207">
        <v>7.8701170401064751</v>
      </c>
      <c r="O208" s="203"/>
      <c r="P208" s="221">
        <v>2.2199312108730642</v>
      </c>
      <c r="Q208" s="217"/>
      <c r="R208" s="221">
        <v>2.4030587162853205</v>
      </c>
      <c r="S208" s="217"/>
      <c r="T208" s="221">
        <v>8.2373741119611932</v>
      </c>
      <c r="U208" s="217"/>
      <c r="V208" s="221">
        <v>9.5315058058263649</v>
      </c>
      <c r="W208" s="217"/>
      <c r="X208" s="251">
        <v>3.6045028806532877</v>
      </c>
      <c r="Y208" s="247"/>
      <c r="Z208" s="251">
        <v>7.3445170282668464</v>
      </c>
      <c r="AA208" s="247"/>
      <c r="AB208" s="251">
        <v>9.509997167272557</v>
      </c>
      <c r="AC208" s="247"/>
      <c r="AD208" s="251">
        <v>4.1893977342299262</v>
      </c>
      <c r="AE208" s="247"/>
      <c r="AF208" s="251">
        <v>6.0417715034386461</v>
      </c>
      <c r="AG208" s="247"/>
      <c r="AH208" s="251">
        <v>14.341837993811341</v>
      </c>
      <c r="AI208" s="247"/>
      <c r="AJ208" s="236">
        <v>4.73695707319823</v>
      </c>
      <c r="AK208" s="232"/>
      <c r="AL208" s="236">
        <v>8.4708672475698794</v>
      </c>
      <c r="AM208" s="232"/>
      <c r="AN208" s="236">
        <v>10.094422160183582</v>
      </c>
      <c r="AO208" s="232"/>
      <c r="AP208" s="236">
        <v>6.4410482047867168</v>
      </c>
      <c r="AQ208" s="232"/>
      <c r="AR208" s="236">
        <v>6.8655443894510579</v>
      </c>
      <c r="AS208" s="232"/>
      <c r="AT208" s="236">
        <v>15.612694168010805</v>
      </c>
      <c r="AU208" s="232"/>
      <c r="AV208" s="267">
        <v>4.6632904248959219</v>
      </c>
      <c r="AW208" s="263"/>
      <c r="AX208" s="267">
        <v>6.7945293979633137</v>
      </c>
      <c r="AY208" s="263"/>
      <c r="AZ208" s="267">
        <v>6.650275574934434</v>
      </c>
      <c r="BA208" s="263"/>
      <c r="BB208" s="267">
        <v>4.8246134641387899</v>
      </c>
      <c r="BC208" s="263"/>
      <c r="BD208" s="267">
        <v>1.2824764621816618</v>
      </c>
      <c r="BE208" s="263"/>
      <c r="BF208" s="267">
        <v>3.1919718640339667</v>
      </c>
      <c r="BG208" s="263"/>
      <c r="BH208" s="267">
        <v>0.44379477917432386</v>
      </c>
      <c r="BI208" s="263"/>
      <c r="BJ208" s="267">
        <v>3.0954393304750876</v>
      </c>
      <c r="BK208" s="263" t="s">
        <v>177</v>
      </c>
      <c r="BL208" s="193">
        <v>4.8804406402210212</v>
      </c>
      <c r="BM208" s="189"/>
      <c r="BN208" s="193">
        <v>5.8732968404436505</v>
      </c>
      <c r="BO208" s="189"/>
      <c r="BP208" s="193">
        <v>3.437589676904993</v>
      </c>
      <c r="BQ208" s="189"/>
      <c r="BR208" s="193">
        <v>3.4803172969044631</v>
      </c>
      <c r="BS208" s="189"/>
      <c r="BT208" s="207">
        <v>4.533796115154316</v>
      </c>
      <c r="BU208" s="203"/>
      <c r="BV208" s="207">
        <v>3.8937282325638098</v>
      </c>
      <c r="BW208" s="203"/>
      <c r="BX208" s="207">
        <v>4.6438922230877315</v>
      </c>
      <c r="BY208" s="203"/>
      <c r="BZ208" s="207">
        <v>5.3528737355760079</v>
      </c>
      <c r="CA208" s="203"/>
      <c r="CB208" s="207">
        <v>1.932244601656711</v>
      </c>
      <c r="CC208" s="203"/>
      <c r="CD208" s="207">
        <v>3.4543188757679428</v>
      </c>
      <c r="CE208" s="203"/>
      <c r="CF208" s="207">
        <v>5.2664729015072913</v>
      </c>
      <c r="CG208" s="203"/>
      <c r="CH208" s="207">
        <v>5.4746718265763201</v>
      </c>
      <c r="CI208" s="203"/>
      <c r="CJ208" s="221">
        <v>4.5081695447239776</v>
      </c>
      <c r="CK208" s="217"/>
      <c r="CL208" s="221">
        <v>5.391433369961673</v>
      </c>
      <c r="CM208" s="217"/>
      <c r="CN208" s="221">
        <v>3.7209014448700581</v>
      </c>
      <c r="CO208" s="217"/>
      <c r="CP208" s="221">
        <v>3.2882525009351138</v>
      </c>
      <c r="CQ208" s="217"/>
      <c r="CR208" s="251">
        <v>6.3281394653014829</v>
      </c>
      <c r="CS208" s="247"/>
      <c r="CT208" s="251">
        <v>5.7072609113352772</v>
      </c>
      <c r="CU208" s="247"/>
      <c r="CV208" s="251">
        <v>3.2421319680242102</v>
      </c>
      <c r="CW208" s="247"/>
      <c r="CX208" s="251">
        <v>3.9099065653760889</v>
      </c>
      <c r="CY208" s="247"/>
      <c r="CZ208" s="236">
        <v>3.7227539085627579</v>
      </c>
      <c r="DA208" s="232"/>
      <c r="DB208" s="236">
        <v>4.1643829139692121</v>
      </c>
      <c r="DC208" s="232"/>
      <c r="DD208" s="236">
        <v>6.4701551568861779</v>
      </c>
      <c r="DE208" s="232"/>
      <c r="DF208" s="236">
        <v>5.352505225818712</v>
      </c>
      <c r="DG208" s="232"/>
      <c r="DH208" s="236">
        <v>5.4187602624247422</v>
      </c>
      <c r="DI208" s="232"/>
      <c r="DJ208" s="236">
        <v>6.9680909547661765</v>
      </c>
      <c r="DK208" s="232"/>
      <c r="DL208" s="267">
        <v>1.7227111405790771</v>
      </c>
      <c r="DM208" s="263"/>
      <c r="DN208" s="267">
        <v>3.2989295934238587</v>
      </c>
      <c r="DO208" s="263"/>
      <c r="DP208" s="267">
        <v>5.1789744087092373</v>
      </c>
      <c r="DQ208" s="263"/>
      <c r="DR208" s="267">
        <v>6.5863148903862578</v>
      </c>
      <c r="DS208" s="263"/>
      <c r="DT208" s="267">
        <v>6.1445726145796318</v>
      </c>
      <c r="DU208" s="263"/>
      <c r="DV208" s="267">
        <v>4.6898052777838126</v>
      </c>
      <c r="DW208" s="263"/>
      <c r="DX208" s="193">
        <v>3.4808202293355244</v>
      </c>
      <c r="DY208" s="189"/>
      <c r="DZ208" s="193">
        <v>4.337661630197637</v>
      </c>
      <c r="EA208" s="189"/>
      <c r="EB208" s="193">
        <v>3.6023816812517109</v>
      </c>
      <c r="EC208" s="189"/>
      <c r="ED208" s="193">
        <v>3.3863287270888098</v>
      </c>
      <c r="EE208" s="189"/>
      <c r="EF208" s="193">
        <v>6.469516640161876</v>
      </c>
      <c r="EG208" s="189"/>
      <c r="EH208" s="193">
        <v>7.6832460108982206</v>
      </c>
      <c r="EI208" s="189"/>
    </row>
    <row r="209" spans="1:139" outlineLevel="1" x14ac:dyDescent="0.2">
      <c r="A209"/>
      <c r="B209"/>
      <c r="E209" s="187"/>
      <c r="G209" s="187"/>
      <c r="I209" s="201"/>
      <c r="K209" s="201"/>
      <c r="M209" s="201"/>
      <c r="O209" s="201"/>
      <c r="Q209" s="215"/>
      <c r="S209" s="215"/>
      <c r="U209" s="215"/>
      <c r="W209" s="215"/>
      <c r="Y209" s="245"/>
      <c r="AA209" s="245"/>
      <c r="AC209" s="245"/>
      <c r="AE209" s="245"/>
      <c r="AG209" s="245"/>
      <c r="AI209" s="245"/>
      <c r="AK209" s="230"/>
      <c r="AM209" s="230"/>
      <c r="AO209" s="230"/>
      <c r="AQ209" s="230"/>
      <c r="AS209" s="230"/>
      <c r="AU209" s="230"/>
      <c r="AW209" s="261"/>
      <c r="AY209" s="261"/>
      <c r="BA209" s="261"/>
      <c r="BC209" s="261"/>
      <c r="BE209" s="261"/>
      <c r="BG209" s="261"/>
      <c r="BI209" s="261"/>
      <c r="BK209" s="261"/>
      <c r="BM209" s="187"/>
      <c r="BO209" s="187"/>
      <c r="BQ209" s="187"/>
      <c r="BS209" s="187"/>
      <c r="BU209" s="201"/>
      <c r="BW209" s="201"/>
      <c r="BY209" s="201"/>
      <c r="CA209" s="201"/>
      <c r="CC209" s="201"/>
      <c r="CE209" s="201"/>
      <c r="CG209" s="201"/>
      <c r="CI209" s="201"/>
      <c r="CK209" s="215"/>
      <c r="CM209" s="215"/>
      <c r="CO209" s="215"/>
      <c r="CQ209" s="215"/>
      <c r="CS209" s="245"/>
      <c r="CU209" s="245"/>
      <c r="CW209" s="245"/>
      <c r="CY209" s="245"/>
      <c r="DA209" s="230"/>
      <c r="DC209" s="230"/>
      <c r="DE209" s="230"/>
      <c r="DG209" s="230"/>
      <c r="DI209" s="230"/>
      <c r="DK209" s="230"/>
      <c r="DM209" s="261"/>
      <c r="DO209" s="261"/>
      <c r="DQ209" s="261"/>
      <c r="DS209" s="261"/>
      <c r="DU209" s="261"/>
      <c r="DW209" s="261"/>
      <c r="DY209" s="187"/>
      <c r="EA209" s="187"/>
      <c r="EC209" s="187"/>
      <c r="EE209" s="187"/>
      <c r="EG209" s="187"/>
      <c r="EI209" s="187"/>
    </row>
    <row r="210" spans="1:139" x14ac:dyDescent="0.2">
      <c r="A210"/>
      <c r="B210"/>
      <c r="E210" s="187"/>
      <c r="G210" s="187"/>
      <c r="I210" s="201"/>
      <c r="K210" s="201"/>
      <c r="M210" s="201"/>
      <c r="O210" s="201"/>
      <c r="Q210" s="215"/>
      <c r="S210" s="215"/>
      <c r="U210" s="215"/>
      <c r="W210" s="215"/>
      <c r="Y210" s="245"/>
      <c r="AA210" s="245"/>
      <c r="AC210" s="245"/>
      <c r="AE210" s="245"/>
      <c r="AG210" s="245"/>
      <c r="AI210" s="245"/>
      <c r="AK210" s="230"/>
      <c r="AM210" s="230"/>
      <c r="AO210" s="230"/>
      <c r="AQ210" s="230"/>
      <c r="AS210" s="230"/>
      <c r="AU210" s="230"/>
      <c r="AW210" s="261"/>
      <c r="AY210" s="261"/>
      <c r="BA210" s="261"/>
      <c r="BC210" s="261"/>
      <c r="BE210" s="261"/>
      <c r="BG210" s="261"/>
      <c r="BI210" s="261"/>
      <c r="BK210" s="261"/>
      <c r="BM210" s="187"/>
      <c r="BO210" s="187"/>
      <c r="BQ210" s="187"/>
      <c r="BS210" s="187"/>
      <c r="BU210" s="201"/>
      <c r="BW210" s="201"/>
      <c r="BY210" s="201"/>
      <c r="CA210" s="201"/>
      <c r="CC210" s="201"/>
      <c r="CE210" s="201"/>
      <c r="CG210" s="201"/>
      <c r="CI210" s="201"/>
      <c r="CK210" s="215"/>
      <c r="CM210" s="215"/>
      <c r="CO210" s="215"/>
      <c r="CQ210" s="215"/>
      <c r="CS210" s="245"/>
      <c r="CU210" s="245"/>
      <c r="CW210" s="245"/>
      <c r="CY210" s="245"/>
      <c r="DA210" s="230"/>
      <c r="DC210" s="230"/>
      <c r="DE210" s="230"/>
      <c r="DG210" s="230"/>
      <c r="DI210" s="230"/>
      <c r="DK210" s="230"/>
      <c r="DM210" s="261"/>
      <c r="DO210" s="261"/>
      <c r="DQ210" s="261"/>
      <c r="DS210" s="261"/>
      <c r="DU210" s="261"/>
      <c r="DW210" s="261"/>
      <c r="DY210" s="187"/>
      <c r="EA210" s="187"/>
      <c r="EC210" s="187"/>
      <c r="EE210" s="187"/>
      <c r="EG210" s="187"/>
      <c r="EI210" s="187"/>
    </row>
    <row r="211" spans="1:139" x14ac:dyDescent="0.2">
      <c r="A211" s="6" t="s">
        <v>163</v>
      </c>
      <c r="B211" s="7" t="s">
        <v>164</v>
      </c>
      <c r="E211" s="187"/>
      <c r="G211" s="187"/>
      <c r="I211" s="201"/>
      <c r="K211" s="201"/>
      <c r="M211" s="201"/>
      <c r="O211" s="201"/>
      <c r="Q211" s="215"/>
      <c r="S211" s="215"/>
      <c r="U211" s="215"/>
      <c r="W211" s="215"/>
      <c r="Y211" s="245"/>
      <c r="AA211" s="245"/>
      <c r="AC211" s="245"/>
      <c r="AE211" s="245"/>
      <c r="AG211" s="245"/>
      <c r="AI211" s="245"/>
      <c r="AK211" s="230"/>
      <c r="AM211" s="230"/>
      <c r="AO211" s="230"/>
      <c r="AQ211" s="230"/>
      <c r="AS211" s="230"/>
      <c r="AU211" s="230"/>
      <c r="AW211" s="261"/>
      <c r="AY211" s="261"/>
      <c r="BA211" s="261"/>
      <c r="BC211" s="261"/>
      <c r="BE211" s="261"/>
      <c r="BG211" s="261"/>
      <c r="BI211" s="261"/>
      <c r="BK211" s="261"/>
      <c r="BM211" s="187"/>
      <c r="BO211" s="187"/>
      <c r="BQ211" s="187"/>
      <c r="BS211" s="187"/>
      <c r="BU211" s="201"/>
      <c r="BW211" s="201"/>
      <c r="BY211" s="201"/>
      <c r="CA211" s="201"/>
      <c r="CC211" s="201"/>
      <c r="CE211" s="201"/>
      <c r="CG211" s="201"/>
      <c r="CI211" s="201"/>
      <c r="CK211" s="215"/>
      <c r="CM211" s="215"/>
      <c r="CO211" s="215"/>
      <c r="CQ211" s="215"/>
      <c r="CS211" s="245"/>
      <c r="CU211" s="245"/>
      <c r="CW211" s="245"/>
      <c r="CY211" s="245"/>
      <c r="DA211" s="230"/>
      <c r="DC211" s="230"/>
      <c r="DE211" s="230"/>
      <c r="DG211" s="230"/>
      <c r="DI211" s="230"/>
      <c r="DK211" s="230"/>
      <c r="DM211" s="261"/>
      <c r="DO211" s="261"/>
      <c r="DQ211" s="261"/>
      <c r="DS211" s="261"/>
      <c r="DU211" s="261"/>
      <c r="DW211" s="261"/>
      <c r="DY211" s="187"/>
      <c r="EA211" s="187"/>
      <c r="EC211" s="187"/>
      <c r="EE211" s="187"/>
      <c r="EG211" s="187"/>
      <c r="EI211" s="187"/>
    </row>
    <row r="212" spans="1:139" outlineLevel="1" x14ac:dyDescent="0.2">
      <c r="A212"/>
      <c r="B212" s="9" t="s">
        <v>63</v>
      </c>
      <c r="C212" s="8">
        <f>697.229271339924+34.7707286600755</f>
        <v>731.99999999999955</v>
      </c>
      <c r="D212" s="188">
        <f>352.928444129701+12.0715558702993</f>
        <v>365.00000000000028</v>
      </c>
      <c r="E212" s="189"/>
      <c r="F212" s="188">
        <f>344.344915978557+22.6550840214431</f>
        <v>367.00000000000011</v>
      </c>
      <c r="G212" s="189"/>
      <c r="H212" s="202">
        <f>0+0</f>
        <v>0</v>
      </c>
      <c r="I212" s="203"/>
      <c r="J212" s="202">
        <f>0+0</f>
        <v>0</v>
      </c>
      <c r="K212" s="203"/>
      <c r="L212" s="202">
        <f>352.928444129701+12.0715558702993</f>
        <v>365.00000000000028</v>
      </c>
      <c r="M212" s="203"/>
      <c r="N212" s="202">
        <f>344.344915978557+22.6550840214431</f>
        <v>367.00000000000011</v>
      </c>
      <c r="O212" s="203"/>
      <c r="P212" s="216">
        <f>51.2287166666667+1.77128333333333</f>
        <v>53.000000000000028</v>
      </c>
      <c r="Q212" s="217"/>
      <c r="R212" s="216">
        <f>57.3559380528055+4.64406194719454</f>
        <v>62.000000000000043</v>
      </c>
      <c r="S212" s="217"/>
      <c r="T212" s="216">
        <f>301.732918900987+10.2670810990132</f>
        <v>312.00000000000017</v>
      </c>
      <c r="U212" s="217"/>
      <c r="V212" s="216">
        <f>287.140440951688+17.8595590483123</f>
        <v>305.00000000000028</v>
      </c>
      <c r="W212" s="217"/>
      <c r="X212" s="246">
        <f>108.171904333963+4.82809566603692</f>
        <v>112.99999999999991</v>
      </c>
      <c r="Y212" s="247"/>
      <c r="Z212" s="246">
        <f>100.435584999034+3.56441500096641</f>
        <v>104.00000000000041</v>
      </c>
      <c r="AA212" s="247"/>
      <c r="AB212" s="246">
        <f>97.1245187341028+1.87548126589725</f>
        <v>99.000000000000043</v>
      </c>
      <c r="AC212" s="247"/>
      <c r="AD212" s="246">
        <f>89.7922517565178+7.20774824348219</f>
        <v>96.999999999999986</v>
      </c>
      <c r="AE212" s="247"/>
      <c r="AF212" s="246">
        <f>83.2058580005259+5.79414199947415</f>
        <v>89.000000000000043</v>
      </c>
      <c r="AG212" s="247"/>
      <c r="AH212" s="246">
        <f>105.139139086837+4.86086091316319</f>
        <v>110.0000000000002</v>
      </c>
      <c r="AI212" s="247"/>
      <c r="AJ212" s="231">
        <f>81.347414494191+3.65258550580896</f>
        <v>84.999999999999957</v>
      </c>
      <c r="AK212" s="232"/>
      <c r="AL212" s="231">
        <f>86.7773955885698+3.22260441143024</f>
        <v>90.000000000000043</v>
      </c>
      <c r="AM212" s="232"/>
      <c r="AN212" s="231">
        <f>91.2486792832434+1.75132071675662</f>
        <v>93.000000000000028</v>
      </c>
      <c r="AO212" s="232"/>
      <c r="AP212" s="231">
        <f>61.5558959595598+3.44410404044016</f>
        <v>64.999999999999957</v>
      </c>
      <c r="AQ212" s="232"/>
      <c r="AR212" s="231">
        <f>72.5600476663241+5.43995233367595</f>
        <v>78.000000000000043</v>
      </c>
      <c r="AS212" s="232"/>
      <c r="AT212" s="231">
        <f>96.2370441283936+4.76295587160638</f>
        <v>100.99999999999999</v>
      </c>
      <c r="AU212" s="232"/>
      <c r="AV212" s="262">
        <f>98.2175316697926+3.78246833020738</f>
        <v>101.99999999999999</v>
      </c>
      <c r="AW212" s="263"/>
      <c r="AX212" s="262">
        <f>111.212121090461+3.78787890953862</f>
        <v>114.99999999999962</v>
      </c>
      <c r="AY212" s="263"/>
      <c r="AZ212" s="262">
        <f>182.625386094129+5.37461390587058</f>
        <v>187.99999999999957</v>
      </c>
      <c r="BA212" s="263"/>
      <c r="BB212" s="262">
        <f>143.59437549496+11.40562450504</f>
        <v>155</v>
      </c>
      <c r="BC212" s="263"/>
      <c r="BD212" s="262">
        <f>55.0827909055902+1.91720909440984</f>
        <v>57.000000000000043</v>
      </c>
      <c r="BE212" s="263"/>
      <c r="BF212" s="262">
        <f>59.9466521560026+2.05334784399742</f>
        <v>62.000000000000021</v>
      </c>
      <c r="BG212" s="263"/>
      <c r="BH212" s="262">
        <f>17.5618602154537+0.438139784546276</f>
        <v>17.999999999999975</v>
      </c>
      <c r="BI212" s="263"/>
      <c r="BJ212" s="262">
        <f>34.1214868355246+0.878513164475386</f>
        <v>34.999999999999986</v>
      </c>
      <c r="BK212" s="263"/>
      <c r="BL212" s="188">
        <f>145.963130282248+5.03686971775213</f>
        <v>151.00000000000011</v>
      </c>
      <c r="BM212" s="189"/>
      <c r="BN212" s="188">
        <f>139.732424098933+6.26757590106735</f>
        <v>146.00000000000034</v>
      </c>
      <c r="BO212" s="189"/>
      <c r="BP212" s="188">
        <f>207.320535567104+6.67946443289588</f>
        <v>213.99999999999989</v>
      </c>
      <c r="BQ212" s="189"/>
      <c r="BR212" s="188">
        <f>204.620555649693+16.3794443503072</f>
        <v>221.0000000000002</v>
      </c>
      <c r="BS212" s="189"/>
      <c r="BT212" s="202">
        <f>57.0726180104669+1.92738198953312</f>
        <v>59.000000000000014</v>
      </c>
      <c r="BU212" s="203"/>
      <c r="BV212" s="202">
        <f>57.2321873773515+1.76781262264853</f>
        <v>59.000000000000028</v>
      </c>
      <c r="BW212" s="203"/>
      <c r="BX212" s="202">
        <f>158.934215900058+5.06578409994151</f>
        <v>163.99999999999952</v>
      </c>
      <c r="BY212" s="203"/>
      <c r="BZ212" s="202">
        <f>162.542313829788+2.4576861702119</f>
        <v>164.99999999999989</v>
      </c>
      <c r="CA212" s="203"/>
      <c r="CB212" s="202">
        <f>84.899031226348+2.10096877365201</f>
        <v>87.000000000000014</v>
      </c>
      <c r="CC212" s="203"/>
      <c r="CD212" s="202">
        <f>69.2642492563552+2.73575074364484</f>
        <v>72.000000000000043</v>
      </c>
      <c r="CE212" s="203"/>
      <c r="CF212" s="202">
        <f>52.9587192079324+2.0412807920676</f>
        <v>55</v>
      </c>
      <c r="CG212" s="203"/>
      <c r="CH212" s="202">
        <f>64.5599145867224+6.44008541327759</f>
        <v>70.999999999999986</v>
      </c>
      <c r="CI212" s="203"/>
      <c r="CJ212" s="216">
        <f>216.997200855537+7.00279914446281</f>
        <v>223.9999999999998</v>
      </c>
      <c r="CK212" s="217"/>
      <c r="CL212" s="216">
        <f>220.569122335491+12.4308776645093</f>
        <v>233.00000000000028</v>
      </c>
      <c r="CM212" s="217"/>
      <c r="CN212" s="216">
        <f>118.765198290158+4.23480170984192</f>
        <v>122.99999999999991</v>
      </c>
      <c r="CO212" s="217"/>
      <c r="CP212" s="216">
        <f>106.248987327734+8.75101267226572</f>
        <v>114.99999999999972</v>
      </c>
      <c r="CQ212" s="217"/>
      <c r="CR212" s="246">
        <f>147.7075118435+4.29248815650027</f>
        <v>152.00000000000026</v>
      </c>
      <c r="CS212" s="247"/>
      <c r="CT212" s="246">
        <f>158.540933933221+5.45906606677949</f>
        <v>164.00000000000048</v>
      </c>
      <c r="CU212" s="247"/>
      <c r="CV212" s="246">
        <f>204.364384571867+7.63561542813255</f>
        <v>211.99999999999955</v>
      </c>
      <c r="CW212" s="247"/>
      <c r="CX212" s="246">
        <f>183.71663875021+15.2833612497903</f>
        <v>199.00000000000028</v>
      </c>
      <c r="CY212" s="247"/>
      <c r="CZ212" s="231">
        <f>239.89183113749+6.10816886250979</f>
        <v>245.99999999999977</v>
      </c>
      <c r="DA212" s="232"/>
      <c r="DB212" s="231">
        <f>246.611950994608+14.3880490053925</f>
        <v>261.00000000000051</v>
      </c>
      <c r="DC212" s="232"/>
      <c r="DD212" s="231">
        <f>73.1545411997509+3.84545880024913</f>
        <v>77.000000000000028</v>
      </c>
      <c r="DE212" s="232"/>
      <c r="DF212" s="231">
        <f>57.7111736354604+5.28882636453959</f>
        <v>62.999999999999986</v>
      </c>
      <c r="DG212" s="232"/>
      <c r="DH212" s="231">
        <f>59.2561345968836+4.74386540311635</f>
        <v>63.99999999999995</v>
      </c>
      <c r="DI212" s="232"/>
      <c r="DJ212" s="231">
        <f>43.9236974827362+3.07630251726383</f>
        <v>47.000000000000028</v>
      </c>
      <c r="DK212" s="232"/>
      <c r="DL212" s="262">
        <f>108.171904333963+4.82809566603692</f>
        <v>112.99999999999991</v>
      </c>
      <c r="DM212" s="263"/>
      <c r="DN212" s="262">
        <f>89.7922517565178+7.20774824348219</f>
        <v>96.999999999999986</v>
      </c>
      <c r="DO212" s="263"/>
      <c r="DP212" s="262">
        <f>97.1245187341028+1.87548126589725</f>
        <v>99.000000000000043</v>
      </c>
      <c r="DQ212" s="263"/>
      <c r="DR212" s="262">
        <f>105.139139086837+4.86086091316319</f>
        <v>110.0000000000002</v>
      </c>
      <c r="DS212" s="263"/>
      <c r="DT212" s="262">
        <f>100.435584999034+3.56441500096641</f>
        <v>104.00000000000041</v>
      </c>
      <c r="DU212" s="263"/>
      <c r="DV212" s="262">
        <f>83.2058580005259+5.79414199947415</f>
        <v>89.000000000000043</v>
      </c>
      <c r="DW212" s="263"/>
      <c r="DX212" s="188">
        <f>94.5860827725069+4.41391722749312</f>
        <v>99.000000000000014</v>
      </c>
      <c r="DY212" s="189"/>
      <c r="DZ212" s="188">
        <f>95.3832668771317+6.61673312286825</f>
        <v>101.99999999999996</v>
      </c>
      <c r="EA212" s="189"/>
      <c r="EB212" s="188">
        <f>156.872763979102+5.12723602089835</f>
        <v>162.00000000000034</v>
      </c>
      <c r="EC212" s="189"/>
      <c r="ED212" s="188">
        <f>144.654993442741+9.34500655725901</f>
        <v>154</v>
      </c>
      <c r="EE212" s="189"/>
      <c r="EF212" s="188">
        <f>101.52414043422+2.47585956577981</f>
        <v>103.99999999999982</v>
      </c>
      <c r="EG212" s="189"/>
      <c r="EH212" s="188">
        <f>104.388665716211+6.61133428378928</f>
        <v>111.00000000000027</v>
      </c>
      <c r="EI212" s="189"/>
    </row>
    <row r="213" spans="1:139" s="18" customFormat="1" outlineLevel="1" x14ac:dyDescent="0.2">
      <c r="A213"/>
      <c r="B213" s="16"/>
      <c r="C213" s="17" t="s">
        <v>167</v>
      </c>
      <c r="D213" s="190" t="s">
        <v>167</v>
      </c>
      <c r="E213" s="191"/>
      <c r="F213" s="190" t="s">
        <v>167</v>
      </c>
      <c r="G213" s="191"/>
      <c r="H213" s="204" t="s">
        <v>167</v>
      </c>
      <c r="I213" s="205"/>
      <c r="J213" s="204" t="s">
        <v>167</v>
      </c>
      <c r="K213" s="205"/>
      <c r="L213" s="204" t="s">
        <v>167</v>
      </c>
      <c r="M213" s="205"/>
      <c r="N213" s="204" t="s">
        <v>167</v>
      </c>
      <c r="O213" s="205"/>
      <c r="P213" s="218" t="s">
        <v>167</v>
      </c>
      <c r="Q213" s="219"/>
      <c r="R213" s="218" t="s">
        <v>167</v>
      </c>
      <c r="S213" s="219"/>
      <c r="T213" s="218" t="s">
        <v>167</v>
      </c>
      <c r="U213" s="219"/>
      <c r="V213" s="218" t="s">
        <v>167</v>
      </c>
      <c r="W213" s="219"/>
      <c r="X213" s="248" t="s">
        <v>167</v>
      </c>
      <c r="Y213" s="249"/>
      <c r="Z213" s="248" t="s">
        <v>167</v>
      </c>
      <c r="AA213" s="249"/>
      <c r="AB213" s="248" t="s">
        <v>167</v>
      </c>
      <c r="AC213" s="249"/>
      <c r="AD213" s="248" t="s">
        <v>167</v>
      </c>
      <c r="AE213" s="249"/>
      <c r="AF213" s="248" t="s">
        <v>167</v>
      </c>
      <c r="AG213" s="249"/>
      <c r="AH213" s="248" t="s">
        <v>167</v>
      </c>
      <c r="AI213" s="249"/>
      <c r="AJ213" s="233" t="s">
        <v>167</v>
      </c>
      <c r="AK213" s="234"/>
      <c r="AL213" s="233" t="s">
        <v>167</v>
      </c>
      <c r="AM213" s="234"/>
      <c r="AN213" s="233" t="s">
        <v>167</v>
      </c>
      <c r="AO213" s="234"/>
      <c r="AP213" s="233" t="s">
        <v>167</v>
      </c>
      <c r="AQ213" s="234"/>
      <c r="AR213" s="233" t="s">
        <v>167</v>
      </c>
      <c r="AS213" s="234"/>
      <c r="AT213" s="233" t="s">
        <v>167</v>
      </c>
      <c r="AU213" s="234"/>
      <c r="AV213" s="264" t="s">
        <v>167</v>
      </c>
      <c r="AW213" s="265"/>
      <c r="AX213" s="264" t="s">
        <v>167</v>
      </c>
      <c r="AY213" s="265"/>
      <c r="AZ213" s="264" t="s">
        <v>167</v>
      </c>
      <c r="BA213" s="265"/>
      <c r="BB213" s="264" t="s">
        <v>167</v>
      </c>
      <c r="BC213" s="265"/>
      <c r="BD213" s="264" t="s">
        <v>167</v>
      </c>
      <c r="BE213" s="265"/>
      <c r="BF213" s="264" t="s">
        <v>167</v>
      </c>
      <c r="BG213" s="265"/>
      <c r="BH213" s="264" t="s">
        <v>167</v>
      </c>
      <c r="BI213" s="265"/>
      <c r="BJ213" s="264" t="s">
        <v>167</v>
      </c>
      <c r="BK213" s="265"/>
      <c r="BL213" s="190" t="s">
        <v>167</v>
      </c>
      <c r="BM213" s="191"/>
      <c r="BN213" s="190" t="s">
        <v>167</v>
      </c>
      <c r="BO213" s="191"/>
      <c r="BP213" s="190" t="s">
        <v>167</v>
      </c>
      <c r="BQ213" s="191"/>
      <c r="BR213" s="190" t="s">
        <v>167</v>
      </c>
      <c r="BS213" s="191"/>
      <c r="BT213" s="204" t="s">
        <v>167</v>
      </c>
      <c r="BU213" s="205"/>
      <c r="BV213" s="204" t="s">
        <v>167</v>
      </c>
      <c r="BW213" s="205"/>
      <c r="BX213" s="204" t="s">
        <v>167</v>
      </c>
      <c r="BY213" s="205"/>
      <c r="BZ213" s="204" t="s">
        <v>167</v>
      </c>
      <c r="CA213" s="205"/>
      <c r="CB213" s="204" t="s">
        <v>167</v>
      </c>
      <c r="CC213" s="205"/>
      <c r="CD213" s="204" t="s">
        <v>167</v>
      </c>
      <c r="CE213" s="205"/>
      <c r="CF213" s="204" t="s">
        <v>167</v>
      </c>
      <c r="CG213" s="205"/>
      <c r="CH213" s="204" t="s">
        <v>167</v>
      </c>
      <c r="CI213" s="205"/>
      <c r="CJ213" s="218" t="s">
        <v>167</v>
      </c>
      <c r="CK213" s="219"/>
      <c r="CL213" s="218" t="s">
        <v>167</v>
      </c>
      <c r="CM213" s="219"/>
      <c r="CN213" s="218" t="s">
        <v>167</v>
      </c>
      <c r="CO213" s="219"/>
      <c r="CP213" s="218" t="s">
        <v>167</v>
      </c>
      <c r="CQ213" s="219"/>
      <c r="CR213" s="248" t="s">
        <v>167</v>
      </c>
      <c r="CS213" s="249"/>
      <c r="CT213" s="248" t="s">
        <v>167</v>
      </c>
      <c r="CU213" s="249"/>
      <c r="CV213" s="248" t="s">
        <v>167</v>
      </c>
      <c r="CW213" s="249"/>
      <c r="CX213" s="248" t="s">
        <v>167</v>
      </c>
      <c r="CY213" s="249"/>
      <c r="CZ213" s="233" t="s">
        <v>167</v>
      </c>
      <c r="DA213" s="234"/>
      <c r="DB213" s="233" t="s">
        <v>167</v>
      </c>
      <c r="DC213" s="234"/>
      <c r="DD213" s="233" t="s">
        <v>167</v>
      </c>
      <c r="DE213" s="234"/>
      <c r="DF213" s="233" t="s">
        <v>167</v>
      </c>
      <c r="DG213" s="234"/>
      <c r="DH213" s="233" t="s">
        <v>167</v>
      </c>
      <c r="DI213" s="234"/>
      <c r="DJ213" s="233" t="s">
        <v>167</v>
      </c>
      <c r="DK213" s="234"/>
      <c r="DL213" s="264" t="s">
        <v>167</v>
      </c>
      <c r="DM213" s="265"/>
      <c r="DN213" s="264" t="s">
        <v>167</v>
      </c>
      <c r="DO213" s="265"/>
      <c r="DP213" s="264" t="s">
        <v>167</v>
      </c>
      <c r="DQ213" s="265"/>
      <c r="DR213" s="264" t="s">
        <v>167</v>
      </c>
      <c r="DS213" s="265"/>
      <c r="DT213" s="264" t="s">
        <v>167</v>
      </c>
      <c r="DU213" s="265"/>
      <c r="DV213" s="264" t="s">
        <v>167</v>
      </c>
      <c r="DW213" s="265"/>
      <c r="DX213" s="190" t="s">
        <v>167</v>
      </c>
      <c r="DY213" s="191"/>
      <c r="DZ213" s="190" t="s">
        <v>167</v>
      </c>
      <c r="EA213" s="191"/>
      <c r="EB213" s="190" t="s">
        <v>167</v>
      </c>
      <c r="EC213" s="191"/>
      <c r="ED213" s="190" t="s">
        <v>167</v>
      </c>
      <c r="EE213" s="191"/>
      <c r="EF213" s="190" t="s">
        <v>167</v>
      </c>
      <c r="EG213" s="191"/>
      <c r="EH213" s="190" t="s">
        <v>167</v>
      </c>
      <c r="EI213" s="191"/>
    </row>
    <row r="214" spans="1:139" outlineLevel="1" x14ac:dyDescent="0.2">
      <c r="A214"/>
      <c r="B214"/>
      <c r="E214" s="187"/>
      <c r="G214" s="187"/>
      <c r="I214" s="201"/>
      <c r="K214" s="201"/>
      <c r="M214" s="201"/>
      <c r="O214" s="201"/>
      <c r="Q214" s="215"/>
      <c r="S214" s="215"/>
      <c r="U214" s="215"/>
      <c r="W214" s="215"/>
      <c r="Y214" s="245"/>
      <c r="AA214" s="245"/>
      <c r="AC214" s="245"/>
      <c r="AE214" s="245"/>
      <c r="AG214" s="245"/>
      <c r="AI214" s="245"/>
      <c r="AK214" s="230"/>
      <c r="AM214" s="230"/>
      <c r="AO214" s="230"/>
      <c r="AQ214" s="230"/>
      <c r="AS214" s="230"/>
      <c r="AU214" s="230"/>
      <c r="AW214" s="261"/>
      <c r="AY214" s="261"/>
      <c r="BA214" s="261"/>
      <c r="BC214" s="261"/>
      <c r="BE214" s="261"/>
      <c r="BG214" s="261"/>
      <c r="BI214" s="261"/>
      <c r="BK214" s="261"/>
      <c r="BM214" s="187"/>
      <c r="BO214" s="187"/>
      <c r="BQ214" s="187"/>
      <c r="BS214" s="187"/>
      <c r="BU214" s="201"/>
      <c r="BW214" s="201"/>
      <c r="BY214" s="201"/>
      <c r="CA214" s="201"/>
      <c r="CC214" s="201"/>
      <c r="CE214" s="201"/>
      <c r="CG214" s="201"/>
      <c r="CI214" s="201"/>
      <c r="CK214" s="215"/>
      <c r="CM214" s="215"/>
      <c r="CO214" s="215"/>
      <c r="CQ214" s="215"/>
      <c r="CS214" s="245"/>
      <c r="CU214" s="245"/>
      <c r="CW214" s="245"/>
      <c r="CY214" s="245"/>
      <c r="DA214" s="230"/>
      <c r="DC214" s="230"/>
      <c r="DE214" s="230"/>
      <c r="DG214" s="230"/>
      <c r="DI214" s="230"/>
      <c r="DK214" s="230"/>
      <c r="DM214" s="261"/>
      <c r="DO214" s="261"/>
      <c r="DQ214" s="261"/>
      <c r="DS214" s="261"/>
      <c r="DU214" s="261"/>
      <c r="DW214" s="261"/>
      <c r="DY214" s="187"/>
      <c r="EA214" s="187"/>
      <c r="EC214" s="187"/>
      <c r="EE214" s="187"/>
      <c r="EG214" s="187"/>
      <c r="EI214" s="187"/>
    </row>
    <row r="215" spans="1:139" outlineLevel="1" x14ac:dyDescent="0.2">
      <c r="A215"/>
      <c r="B215" s="7" t="s">
        <v>92</v>
      </c>
      <c r="C215" s="10">
        <v>38.737700488223645</v>
      </c>
      <c r="D215" s="192">
        <v>40.557748786982216</v>
      </c>
      <c r="E215" s="189"/>
      <c r="F215" s="192">
        <v>36.901716496754986</v>
      </c>
      <c r="G215" s="189"/>
      <c r="H215" s="206">
        <v>0</v>
      </c>
      <c r="I215" s="203"/>
      <c r="J215" s="206">
        <v>0</v>
      </c>
      <c r="K215" s="203"/>
      <c r="L215" s="206">
        <v>40.557748786982216</v>
      </c>
      <c r="M215" s="203"/>
      <c r="N215" s="206">
        <v>36.901716496754986</v>
      </c>
      <c r="O215" s="203"/>
      <c r="P215" s="220">
        <v>79.831852122003184</v>
      </c>
      <c r="Q215" s="217"/>
      <c r="R215" s="220">
        <v>76.275237099638517</v>
      </c>
      <c r="S215" s="217"/>
      <c r="T215" s="220">
        <v>34.072575916343212</v>
      </c>
      <c r="U215" s="217"/>
      <c r="V215" s="220">
        <v>28.589930984148886</v>
      </c>
      <c r="W215" s="217"/>
      <c r="X215" s="250">
        <v>51.745237114360194</v>
      </c>
      <c r="Y215" s="247"/>
      <c r="Z215" s="250">
        <v>42.467088384631289</v>
      </c>
      <c r="AA215" s="247" t="s">
        <v>190</v>
      </c>
      <c r="AB215" s="250">
        <v>29.737638292180101</v>
      </c>
      <c r="AC215" s="247"/>
      <c r="AD215" s="250">
        <v>55.828918674134904</v>
      </c>
      <c r="AE215" s="247"/>
      <c r="AF215" s="250">
        <v>26.867567922894537</v>
      </c>
      <c r="AG215" s="247"/>
      <c r="AH215" s="250">
        <v>28.939385310477061</v>
      </c>
      <c r="AI215" s="247"/>
      <c r="AJ215" s="235">
        <v>40.732780893862099</v>
      </c>
      <c r="AK215" s="232"/>
      <c r="AL215" s="235">
        <v>39.255020337500937</v>
      </c>
      <c r="AM215" s="232" t="s">
        <v>196</v>
      </c>
      <c r="AN215" s="235">
        <v>27.395894452645887</v>
      </c>
      <c r="AO215" s="232"/>
      <c r="AP215" s="235">
        <v>38.848860420358562</v>
      </c>
      <c r="AQ215" s="232"/>
      <c r="AR215" s="235">
        <v>21.879640469465791</v>
      </c>
      <c r="AS215" s="232"/>
      <c r="AT215" s="235">
        <v>22.642575866697388</v>
      </c>
      <c r="AU215" s="232"/>
      <c r="AV215" s="266">
        <v>52.303508373627537</v>
      </c>
      <c r="AW215" s="263" t="s">
        <v>172</v>
      </c>
      <c r="AX215" s="266">
        <v>37.696057834543019</v>
      </c>
      <c r="AY215" s="263"/>
      <c r="AZ215" s="266">
        <v>36.393596792408808</v>
      </c>
      <c r="BA215" s="263"/>
      <c r="BB215" s="266">
        <v>38.633388234300433</v>
      </c>
      <c r="BC215" s="263"/>
      <c r="BD215" s="266">
        <v>39.685315005056985</v>
      </c>
      <c r="BE215" s="263"/>
      <c r="BF215" s="266">
        <v>32.300291570413819</v>
      </c>
      <c r="BG215" s="263"/>
      <c r="BH215" s="266">
        <v>17.497191871745123</v>
      </c>
      <c r="BI215" s="263"/>
      <c r="BJ215" s="266">
        <v>33.385293333542428</v>
      </c>
      <c r="BK215" s="263"/>
      <c r="BL215" s="192">
        <v>41.592590219307731</v>
      </c>
      <c r="BM215" s="189"/>
      <c r="BN215" s="192">
        <v>35.803384675170825</v>
      </c>
      <c r="BO215" s="189"/>
      <c r="BP215" s="192">
        <v>39.780947332778034</v>
      </c>
      <c r="BQ215" s="189"/>
      <c r="BR215" s="192">
        <v>37.659172652280169</v>
      </c>
      <c r="BS215" s="189"/>
      <c r="BT215" s="206">
        <v>42.507248641422301</v>
      </c>
      <c r="BU215" s="203"/>
      <c r="BV215" s="206">
        <v>42.32134721350652</v>
      </c>
      <c r="BW215" s="203"/>
      <c r="BX215" s="206">
        <v>41.359087529463878</v>
      </c>
      <c r="BY215" s="203"/>
      <c r="BZ215" s="206">
        <v>33.795150950223949</v>
      </c>
      <c r="CA215" s="203"/>
      <c r="CB215" s="206">
        <v>40.544415570842723</v>
      </c>
      <c r="CC215" s="203"/>
      <c r="CD215" s="206">
        <v>31.11239817181421</v>
      </c>
      <c r="CE215" s="203"/>
      <c r="CF215" s="206">
        <v>36.603349204289486</v>
      </c>
      <c r="CG215" s="203"/>
      <c r="CH215" s="206">
        <v>43.811963815785596</v>
      </c>
      <c r="CI215" s="203"/>
      <c r="CJ215" s="220">
        <v>40.950624673631559</v>
      </c>
      <c r="CK215" s="217"/>
      <c r="CL215" s="220">
        <v>38.474042860794974</v>
      </c>
      <c r="CM215" s="217"/>
      <c r="CN215" s="220">
        <v>40.606545314949294</v>
      </c>
      <c r="CO215" s="217"/>
      <c r="CP215" s="220">
        <v>37.243616032943031</v>
      </c>
      <c r="CQ215" s="217"/>
      <c r="CR215" s="250">
        <v>39.564960549550378</v>
      </c>
      <c r="CS215" s="247"/>
      <c r="CT215" s="250">
        <v>33.782851973159794</v>
      </c>
      <c r="CU215" s="247"/>
      <c r="CV215" s="250">
        <v>41.452605088345479</v>
      </c>
      <c r="CW215" s="247"/>
      <c r="CX215" s="250">
        <v>39.488415864638306</v>
      </c>
      <c r="CY215" s="247"/>
      <c r="CZ215" s="235">
        <v>33.972892817009786</v>
      </c>
      <c r="DA215" s="232"/>
      <c r="DB215" s="235">
        <v>35.307934030210362</v>
      </c>
      <c r="DC215" s="232"/>
      <c r="DD215" s="235">
        <v>51.087367000927955</v>
      </c>
      <c r="DE215" s="232" t="s">
        <v>225</v>
      </c>
      <c r="DF215" s="235">
        <v>33.68406398622114</v>
      </c>
      <c r="DG215" s="232"/>
      <c r="DH215" s="235">
        <v>42.476008262884271</v>
      </c>
      <c r="DI215" s="232"/>
      <c r="DJ215" s="235">
        <v>56.258509273391425</v>
      </c>
      <c r="DK215" s="232"/>
      <c r="DL215" s="266">
        <v>51.745237114360194</v>
      </c>
      <c r="DM215" s="263"/>
      <c r="DN215" s="266">
        <v>55.828918674134904</v>
      </c>
      <c r="DO215" s="263"/>
      <c r="DP215" s="266">
        <v>29.737638292180101</v>
      </c>
      <c r="DQ215" s="263"/>
      <c r="DR215" s="266">
        <v>28.939385310477061</v>
      </c>
      <c r="DS215" s="263"/>
      <c r="DT215" s="266">
        <v>42.467088384631289</v>
      </c>
      <c r="DU215" s="263" t="s">
        <v>233</v>
      </c>
      <c r="DV215" s="266">
        <v>26.867567922894537</v>
      </c>
      <c r="DW215" s="263"/>
      <c r="DX215" s="192">
        <v>49.739464977301289</v>
      </c>
      <c r="DY215" s="189"/>
      <c r="DZ215" s="192">
        <v>49.320728257453034</v>
      </c>
      <c r="EA215" s="189"/>
      <c r="EB215" s="192">
        <v>38.819076363972343</v>
      </c>
      <c r="EC215" s="189"/>
      <c r="ED215" s="192">
        <v>32.074502205657403</v>
      </c>
      <c r="EE215" s="189"/>
      <c r="EF215" s="192">
        <v>34.872828358181259</v>
      </c>
      <c r="EG215" s="189"/>
      <c r="EH215" s="192">
        <v>31.852915275382525</v>
      </c>
      <c r="EI215" s="189"/>
    </row>
    <row r="216" spans="1:139" outlineLevel="1" x14ac:dyDescent="0.2">
      <c r="A216"/>
      <c r="B216" s="11" t="s">
        <v>93</v>
      </c>
      <c r="C216" s="12">
        <v>16.438483793592521</v>
      </c>
      <c r="D216" s="193">
        <v>17.005372207937203</v>
      </c>
      <c r="E216" s="189"/>
      <c r="F216" s="193">
        <v>15.866631906806987</v>
      </c>
      <c r="G216" s="189"/>
      <c r="H216" s="207">
        <v>0</v>
      </c>
      <c r="I216" s="203"/>
      <c r="J216" s="207">
        <v>0</v>
      </c>
      <c r="K216" s="203"/>
      <c r="L216" s="207">
        <v>17.005372207937203</v>
      </c>
      <c r="M216" s="203"/>
      <c r="N216" s="207">
        <v>15.866631906806987</v>
      </c>
      <c r="O216" s="203"/>
      <c r="P216" s="221">
        <v>46.806917864752293</v>
      </c>
      <c r="Q216" s="217"/>
      <c r="R216" s="221">
        <v>53.10606823935413</v>
      </c>
      <c r="S216" s="217"/>
      <c r="T216" s="221">
        <v>12.084364241235935</v>
      </c>
      <c r="U216" s="217"/>
      <c r="V216" s="221">
        <v>8.0053534976871745</v>
      </c>
      <c r="W216" s="217"/>
      <c r="X216" s="251">
        <v>25.40613770836368</v>
      </c>
      <c r="Y216" s="247"/>
      <c r="Z216" s="251">
        <v>20.625761045207042</v>
      </c>
      <c r="AA216" s="247" t="s">
        <v>190</v>
      </c>
      <c r="AB216" s="251">
        <v>6.0919377429457224</v>
      </c>
      <c r="AC216" s="247"/>
      <c r="AD216" s="251">
        <v>37.101150088293181</v>
      </c>
      <c r="AE216" s="247"/>
      <c r="AF216" s="251">
        <v>9.3233324719717476</v>
      </c>
      <c r="AG216" s="247"/>
      <c r="AH216" s="251">
        <v>6.9668925717106136</v>
      </c>
      <c r="AI216" s="247"/>
      <c r="AJ216" s="236">
        <v>13.167765908471679</v>
      </c>
      <c r="AK216" s="232"/>
      <c r="AL216" s="236">
        <v>17.279478335372236</v>
      </c>
      <c r="AM216" s="232" t="s">
        <v>196</v>
      </c>
      <c r="AN216" s="236">
        <v>6.4663101648942503</v>
      </c>
      <c r="AO216" s="232"/>
      <c r="AP216" s="236">
        <v>20.848807521583478</v>
      </c>
      <c r="AQ216" s="232"/>
      <c r="AR216" s="236">
        <v>5.329722058014803</v>
      </c>
      <c r="AS216" s="232"/>
      <c r="AT216" s="236">
        <v>2.7416269969610956</v>
      </c>
      <c r="AU216" s="232"/>
      <c r="AV216" s="267">
        <v>21.448949130273064</v>
      </c>
      <c r="AW216" s="263"/>
      <c r="AX216" s="267">
        <v>13.882573468326648</v>
      </c>
      <c r="AY216" s="263"/>
      <c r="AZ216" s="267">
        <v>15.618322249773408</v>
      </c>
      <c r="BA216" s="263"/>
      <c r="BB216" s="267">
        <v>17.484550304770753</v>
      </c>
      <c r="BC216" s="263"/>
      <c r="BD216" s="267">
        <v>18.381254240821995</v>
      </c>
      <c r="BE216" s="263"/>
      <c r="BF216" s="267">
        <v>12.266202922625691</v>
      </c>
      <c r="BG216" s="263"/>
      <c r="BH216" s="267">
        <v>0</v>
      </c>
      <c r="BI216" s="263"/>
      <c r="BJ216" s="267">
        <v>20.228017626672102</v>
      </c>
      <c r="BK216" s="263"/>
      <c r="BL216" s="193">
        <v>15.54866269040412</v>
      </c>
      <c r="BM216" s="189"/>
      <c r="BN216" s="193">
        <v>17.639010563074891</v>
      </c>
      <c r="BO216" s="189"/>
      <c r="BP216" s="193">
        <v>18.09884801613892</v>
      </c>
      <c r="BQ216" s="189"/>
      <c r="BR216" s="193">
        <v>14.644324497762552</v>
      </c>
      <c r="BS216" s="189"/>
      <c r="BT216" s="207">
        <v>12.585030470336998</v>
      </c>
      <c r="BU216" s="203"/>
      <c r="BV216" s="207">
        <v>12.685572815033225</v>
      </c>
      <c r="BW216" s="203"/>
      <c r="BX216" s="207">
        <v>18.964959739294134</v>
      </c>
      <c r="BY216" s="203"/>
      <c r="BZ216" s="207">
        <v>13.556021464346008</v>
      </c>
      <c r="CA216" s="203"/>
      <c r="CB216" s="207">
        <v>17.771018427696305</v>
      </c>
      <c r="CC216" s="203"/>
      <c r="CD216" s="207">
        <v>20.742983770444329</v>
      </c>
      <c r="CE216" s="203"/>
      <c r="CF216" s="207">
        <v>14.919031505677944</v>
      </c>
      <c r="CG216" s="203"/>
      <c r="CH216" s="207">
        <v>17.352050607886781</v>
      </c>
      <c r="CI216" s="203"/>
      <c r="CJ216" s="221">
        <v>19.403158713637669</v>
      </c>
      <c r="CK216" s="217"/>
      <c r="CL216" s="221">
        <v>15.944224547546215</v>
      </c>
      <c r="CM216" s="217"/>
      <c r="CN216" s="221">
        <v>12.037493201957837</v>
      </c>
      <c r="CO216" s="217"/>
      <c r="CP216" s="221">
        <v>17.329991044451326</v>
      </c>
      <c r="CQ216" s="217"/>
      <c r="CR216" s="251">
        <v>18.535906033418051</v>
      </c>
      <c r="CS216" s="247"/>
      <c r="CT216" s="251">
        <v>12.956933569574183</v>
      </c>
      <c r="CU216" s="247"/>
      <c r="CV216" s="251">
        <v>15.927704912335326</v>
      </c>
      <c r="CW216" s="247"/>
      <c r="CX216" s="251">
        <v>17.893171763427507</v>
      </c>
      <c r="CY216" s="247"/>
      <c r="CZ216" s="236">
        <v>10.879635369619253</v>
      </c>
      <c r="DA216" s="232"/>
      <c r="DB216" s="236">
        <v>16.49163681953263</v>
      </c>
      <c r="DC216" s="232"/>
      <c r="DD216" s="236">
        <v>30.89074106051098</v>
      </c>
      <c r="DE216" s="232" t="s">
        <v>225</v>
      </c>
      <c r="DF216" s="236">
        <v>15.385474570948494</v>
      </c>
      <c r="DG216" s="232"/>
      <c r="DH216" s="236">
        <v>14.180284321546257</v>
      </c>
      <c r="DI216" s="232"/>
      <c r="DJ216" s="236">
        <v>22.461735244380446</v>
      </c>
      <c r="DK216" s="232"/>
      <c r="DL216" s="267">
        <v>25.40613770836368</v>
      </c>
      <c r="DM216" s="263"/>
      <c r="DN216" s="267">
        <v>37.101150088293181</v>
      </c>
      <c r="DO216" s="263"/>
      <c r="DP216" s="267">
        <v>6.0919377429457224</v>
      </c>
      <c r="DQ216" s="263"/>
      <c r="DR216" s="267">
        <v>6.9668925717106136</v>
      </c>
      <c r="DS216" s="263"/>
      <c r="DT216" s="267">
        <v>20.625761045207042</v>
      </c>
      <c r="DU216" s="263" t="s">
        <v>233</v>
      </c>
      <c r="DV216" s="267">
        <v>9.3233324719717476</v>
      </c>
      <c r="DW216" s="263"/>
      <c r="DX216" s="193">
        <v>25.265998102028778</v>
      </c>
      <c r="DY216" s="189"/>
      <c r="DZ216" s="193">
        <v>25.291907444570711</v>
      </c>
      <c r="EA216" s="189"/>
      <c r="EB216" s="193">
        <v>14.809652135080615</v>
      </c>
      <c r="EC216" s="189"/>
      <c r="ED216" s="193">
        <v>16.038435348414922</v>
      </c>
      <c r="EE216" s="189"/>
      <c r="EF216" s="193">
        <v>12.841960517965106</v>
      </c>
      <c r="EG216" s="189"/>
      <c r="EH216" s="193">
        <v>6.6872454408688951</v>
      </c>
      <c r="EI216" s="189"/>
    </row>
    <row r="217" spans="1:139" outlineLevel="1" x14ac:dyDescent="0.2">
      <c r="A217"/>
      <c r="B217" s="11" t="s">
        <v>94</v>
      </c>
      <c r="C217" s="12">
        <v>22.299216694631124</v>
      </c>
      <c r="D217" s="193">
        <v>23.552376579045017</v>
      </c>
      <c r="E217" s="189"/>
      <c r="F217" s="193">
        <v>21.035084589947996</v>
      </c>
      <c r="G217" s="189"/>
      <c r="H217" s="207">
        <v>0</v>
      </c>
      <c r="I217" s="203"/>
      <c r="J217" s="207">
        <v>0</v>
      </c>
      <c r="K217" s="203"/>
      <c r="L217" s="207">
        <v>23.552376579045017</v>
      </c>
      <c r="M217" s="203"/>
      <c r="N217" s="207">
        <v>21.035084589947996</v>
      </c>
      <c r="O217" s="203"/>
      <c r="P217" s="221">
        <v>33.024934257250898</v>
      </c>
      <c r="Q217" s="217"/>
      <c r="R217" s="221">
        <v>23.169168860284394</v>
      </c>
      <c r="S217" s="217"/>
      <c r="T217" s="221">
        <v>21.988211675107273</v>
      </c>
      <c r="U217" s="217"/>
      <c r="V217" s="221">
        <v>20.584577486461711</v>
      </c>
      <c r="W217" s="217"/>
      <c r="X217" s="251">
        <v>26.339099405996514</v>
      </c>
      <c r="Y217" s="247"/>
      <c r="Z217" s="251">
        <v>21.841327339424247</v>
      </c>
      <c r="AA217" s="247"/>
      <c r="AB217" s="251">
        <v>23.645700549234377</v>
      </c>
      <c r="AC217" s="247"/>
      <c r="AD217" s="251">
        <v>18.727768585841719</v>
      </c>
      <c r="AE217" s="247"/>
      <c r="AF217" s="251">
        <v>17.544235450922791</v>
      </c>
      <c r="AG217" s="247"/>
      <c r="AH217" s="251">
        <v>21.972492738766444</v>
      </c>
      <c r="AI217" s="247"/>
      <c r="AJ217" s="236">
        <v>27.565014985390423</v>
      </c>
      <c r="AK217" s="232"/>
      <c r="AL217" s="236">
        <v>21.975542002128702</v>
      </c>
      <c r="AM217" s="232"/>
      <c r="AN217" s="236">
        <v>20.929584287751638</v>
      </c>
      <c r="AO217" s="232"/>
      <c r="AP217" s="236">
        <v>18.000052898775081</v>
      </c>
      <c r="AQ217" s="232"/>
      <c r="AR217" s="236">
        <v>16.549918411450989</v>
      </c>
      <c r="AS217" s="232"/>
      <c r="AT217" s="236">
        <v>19.900948869736293</v>
      </c>
      <c r="AU217" s="232"/>
      <c r="AV217" s="267">
        <v>30.854559243354473</v>
      </c>
      <c r="AW217" s="263"/>
      <c r="AX217" s="267">
        <v>23.813484366216372</v>
      </c>
      <c r="AY217" s="263"/>
      <c r="AZ217" s="267">
        <v>20.775274542635401</v>
      </c>
      <c r="BA217" s="263"/>
      <c r="BB217" s="267">
        <v>21.14883792952968</v>
      </c>
      <c r="BC217" s="263"/>
      <c r="BD217" s="267">
        <v>21.30406076423499</v>
      </c>
      <c r="BE217" s="263"/>
      <c r="BF217" s="267">
        <v>20.034088647788131</v>
      </c>
      <c r="BG217" s="263"/>
      <c r="BH217" s="267">
        <v>17.497191871745123</v>
      </c>
      <c r="BI217" s="263"/>
      <c r="BJ217" s="267">
        <v>13.157275706870324</v>
      </c>
      <c r="BK217" s="263"/>
      <c r="BL217" s="193">
        <v>26.043927528903613</v>
      </c>
      <c r="BM217" s="189"/>
      <c r="BN217" s="193">
        <v>18.164374112095935</v>
      </c>
      <c r="BO217" s="189"/>
      <c r="BP217" s="193">
        <v>21.682099316639118</v>
      </c>
      <c r="BQ217" s="189"/>
      <c r="BR217" s="193">
        <v>23.014848154517619</v>
      </c>
      <c r="BS217" s="189"/>
      <c r="BT217" s="207">
        <v>29.922218171085301</v>
      </c>
      <c r="BU217" s="203"/>
      <c r="BV217" s="207">
        <v>29.635774398473295</v>
      </c>
      <c r="BW217" s="203"/>
      <c r="BX217" s="207">
        <v>22.394127790169744</v>
      </c>
      <c r="BY217" s="203"/>
      <c r="BZ217" s="207">
        <v>20.239129485877942</v>
      </c>
      <c r="CA217" s="203"/>
      <c r="CB217" s="207">
        <v>22.773397143146415</v>
      </c>
      <c r="CC217" s="203" t="s">
        <v>213</v>
      </c>
      <c r="CD217" s="207">
        <v>10.36941440136988</v>
      </c>
      <c r="CE217" s="203"/>
      <c r="CF217" s="207">
        <v>21.684317698611544</v>
      </c>
      <c r="CG217" s="203"/>
      <c r="CH217" s="207">
        <v>26.459913207898815</v>
      </c>
      <c r="CI217" s="203"/>
      <c r="CJ217" s="221">
        <v>21.54746595999389</v>
      </c>
      <c r="CK217" s="217"/>
      <c r="CL217" s="221">
        <v>22.529818313248761</v>
      </c>
      <c r="CM217" s="217"/>
      <c r="CN217" s="221">
        <v>28.569052112991457</v>
      </c>
      <c r="CO217" s="217"/>
      <c r="CP217" s="221">
        <v>19.913624988491701</v>
      </c>
      <c r="CQ217" s="217"/>
      <c r="CR217" s="251">
        <v>21.029054516132323</v>
      </c>
      <c r="CS217" s="247"/>
      <c r="CT217" s="251">
        <v>20.825918403585607</v>
      </c>
      <c r="CU217" s="247"/>
      <c r="CV217" s="251">
        <v>25.524900176010153</v>
      </c>
      <c r="CW217" s="247"/>
      <c r="CX217" s="251">
        <v>21.595244101210803</v>
      </c>
      <c r="CY217" s="247"/>
      <c r="CZ217" s="236">
        <v>23.093257447390535</v>
      </c>
      <c r="DA217" s="232"/>
      <c r="DB217" s="236">
        <v>18.816297210677728</v>
      </c>
      <c r="DC217" s="232"/>
      <c r="DD217" s="236">
        <v>20.196625940416975</v>
      </c>
      <c r="DE217" s="232"/>
      <c r="DF217" s="236">
        <v>18.298589415272648</v>
      </c>
      <c r="DG217" s="232"/>
      <c r="DH217" s="236">
        <v>28.295723941338014</v>
      </c>
      <c r="DI217" s="232"/>
      <c r="DJ217" s="236">
        <v>33.796774029010983</v>
      </c>
      <c r="DK217" s="232"/>
      <c r="DL217" s="267">
        <v>26.339099405996514</v>
      </c>
      <c r="DM217" s="263"/>
      <c r="DN217" s="267">
        <v>18.727768585841719</v>
      </c>
      <c r="DO217" s="263"/>
      <c r="DP217" s="267">
        <v>23.645700549234377</v>
      </c>
      <c r="DQ217" s="263"/>
      <c r="DR217" s="267">
        <v>21.972492738766444</v>
      </c>
      <c r="DS217" s="263"/>
      <c r="DT217" s="267">
        <v>21.841327339424247</v>
      </c>
      <c r="DU217" s="263"/>
      <c r="DV217" s="267">
        <v>17.544235450922791</v>
      </c>
      <c r="DW217" s="263"/>
      <c r="DX217" s="193">
        <v>24.473466875272514</v>
      </c>
      <c r="DY217" s="189"/>
      <c r="DZ217" s="193">
        <v>24.028820812882323</v>
      </c>
      <c r="EA217" s="189"/>
      <c r="EB217" s="193">
        <v>24.009424228891728</v>
      </c>
      <c r="EC217" s="189"/>
      <c r="ED217" s="193">
        <v>16.036066857242485</v>
      </c>
      <c r="EE217" s="189"/>
      <c r="EF217" s="193">
        <v>22.030867840216153</v>
      </c>
      <c r="EG217" s="189"/>
      <c r="EH217" s="193">
        <v>25.165669834513629</v>
      </c>
      <c r="EI217" s="189"/>
    </row>
    <row r="218" spans="1:139" outlineLevel="1" x14ac:dyDescent="0.2">
      <c r="A218"/>
      <c r="B218" s="7"/>
      <c r="E218" s="187"/>
      <c r="G218" s="187"/>
      <c r="I218" s="201"/>
      <c r="K218" s="201"/>
      <c r="M218" s="201"/>
      <c r="O218" s="201"/>
      <c r="Q218" s="215"/>
      <c r="S218" s="215"/>
      <c r="U218" s="215"/>
      <c r="W218" s="215"/>
      <c r="Y218" s="245"/>
      <c r="AA218" s="245"/>
      <c r="AC218" s="245"/>
      <c r="AE218" s="245"/>
      <c r="AG218" s="245"/>
      <c r="AI218" s="245"/>
      <c r="AK218" s="230"/>
      <c r="AM218" s="230"/>
      <c r="AO218" s="230"/>
      <c r="AQ218" s="230"/>
      <c r="AS218" s="230"/>
      <c r="AU218" s="230"/>
      <c r="AW218" s="261"/>
      <c r="AY218" s="261"/>
      <c r="BA218" s="261"/>
      <c r="BC218" s="261"/>
      <c r="BE218" s="261"/>
      <c r="BG218" s="261"/>
      <c r="BI218" s="261"/>
      <c r="BK218" s="261"/>
      <c r="BM218" s="187"/>
      <c r="BO218" s="187"/>
      <c r="BQ218" s="187"/>
      <c r="BS218" s="187"/>
      <c r="BU218" s="201"/>
      <c r="BW218" s="201"/>
      <c r="BY218" s="201"/>
      <c r="CA218" s="201"/>
      <c r="CC218" s="201"/>
      <c r="CE218" s="201"/>
      <c r="CG218" s="201"/>
      <c r="CI218" s="201"/>
      <c r="CK218" s="215"/>
      <c r="CM218" s="215"/>
      <c r="CO218" s="215"/>
      <c r="CQ218" s="215"/>
      <c r="CS218" s="245"/>
      <c r="CU218" s="245"/>
      <c r="CW218" s="245"/>
      <c r="CY218" s="245"/>
      <c r="DA218" s="230"/>
      <c r="DC218" s="230"/>
      <c r="DE218" s="230"/>
      <c r="DG218" s="230"/>
      <c r="DI218" s="230"/>
      <c r="DK218" s="230"/>
      <c r="DM218" s="261"/>
      <c r="DO218" s="261"/>
      <c r="DQ218" s="261"/>
      <c r="DS218" s="261"/>
      <c r="DU218" s="261"/>
      <c r="DW218" s="261"/>
      <c r="DY218" s="187"/>
      <c r="EA218" s="187"/>
      <c r="EC218" s="187"/>
      <c r="EE218" s="187"/>
      <c r="EG218" s="187"/>
      <c r="EI218" s="187"/>
    </row>
    <row r="219" spans="1:139" outlineLevel="1" x14ac:dyDescent="0.2">
      <c r="A219"/>
      <c r="B219" s="13" t="s">
        <v>95</v>
      </c>
      <c r="C219" s="12">
        <v>42.1096785986241</v>
      </c>
      <c r="D219" s="193">
        <v>41.523320736156798</v>
      </c>
      <c r="E219" s="189"/>
      <c r="F219" s="193">
        <v>42.701170401064751</v>
      </c>
      <c r="G219" s="189"/>
      <c r="H219" s="207">
        <v>0</v>
      </c>
      <c r="I219" s="203"/>
      <c r="J219" s="207">
        <v>0</v>
      </c>
      <c r="K219" s="203"/>
      <c r="L219" s="207">
        <v>41.523320736156798</v>
      </c>
      <c r="M219" s="203"/>
      <c r="N219" s="207">
        <v>42.701170401064751</v>
      </c>
      <c r="O219" s="203"/>
      <c r="P219" s="221">
        <v>12.991918920475268</v>
      </c>
      <c r="Q219" s="217"/>
      <c r="R219" s="221">
        <v>18.259348589997103</v>
      </c>
      <c r="S219" s="217"/>
      <c r="T219" s="221">
        <v>46.234595018805152</v>
      </c>
      <c r="U219" s="217"/>
      <c r="V219" s="221">
        <v>47.860860906771101</v>
      </c>
      <c r="W219" s="217"/>
      <c r="X219" s="251">
        <v>32.611390175484374</v>
      </c>
      <c r="Y219" s="247"/>
      <c r="Z219" s="251">
        <v>43.524318984200896</v>
      </c>
      <c r="AA219" s="247"/>
      <c r="AB219" s="251">
        <v>44.616932628298947</v>
      </c>
      <c r="AC219" s="247"/>
      <c r="AD219" s="251">
        <v>25.852851439760773</v>
      </c>
      <c r="AE219" s="247"/>
      <c r="AF219" s="251">
        <v>50.396566340709313</v>
      </c>
      <c r="AG219" s="247"/>
      <c r="AH219" s="251">
        <v>47.931829830855975</v>
      </c>
      <c r="AI219" s="247"/>
      <c r="AJ219" s="236">
        <v>41.904013641872659</v>
      </c>
      <c r="AK219" s="232"/>
      <c r="AL219" s="236">
        <v>44.588038634627189</v>
      </c>
      <c r="AM219" s="232"/>
      <c r="AN219" s="236">
        <v>46.445596590612489</v>
      </c>
      <c r="AO219" s="232"/>
      <c r="AP219" s="236">
        <v>35.705117334150671</v>
      </c>
      <c r="AQ219" s="232"/>
      <c r="AR219" s="236">
        <v>53.318342161896929</v>
      </c>
      <c r="AS219" s="232"/>
      <c r="AT219" s="236">
        <v>52.179155864486148</v>
      </c>
      <c r="AU219" s="232"/>
      <c r="AV219" s="267">
        <v>34.350373637202381</v>
      </c>
      <c r="AW219" s="263"/>
      <c r="AX219" s="267">
        <v>44.627127976961347</v>
      </c>
      <c r="AY219" s="263"/>
      <c r="AZ219" s="267">
        <v>41.818226864402057</v>
      </c>
      <c r="BA219" s="263"/>
      <c r="BB219" s="267">
        <v>41.772245449554454</v>
      </c>
      <c r="BC219" s="263"/>
      <c r="BD219" s="267">
        <v>46.933531345047001</v>
      </c>
      <c r="BE219" s="263"/>
      <c r="BF219" s="267">
        <v>45.453837568458482</v>
      </c>
      <c r="BG219" s="263"/>
      <c r="BH219" s="267">
        <v>66.382875523332984</v>
      </c>
      <c r="BI219" s="263"/>
      <c r="BJ219" s="267">
        <v>36.382141232926124</v>
      </c>
      <c r="BK219" s="263"/>
      <c r="BL219" s="193">
        <v>39.730501520441415</v>
      </c>
      <c r="BM219" s="189"/>
      <c r="BN219" s="193">
        <v>40.639701052407936</v>
      </c>
      <c r="BO219" s="189"/>
      <c r="BP219" s="193">
        <v>42.869096553001782</v>
      </c>
      <c r="BQ219" s="189"/>
      <c r="BR219" s="193">
        <v>44.122846999048079</v>
      </c>
      <c r="BS219" s="189"/>
      <c r="BT219" s="207">
        <v>36.864940882337621</v>
      </c>
      <c r="BU219" s="203"/>
      <c r="BV219" s="207">
        <v>30.868656998684767</v>
      </c>
      <c r="BW219" s="203"/>
      <c r="BX219" s="207">
        <v>37.680160726432852</v>
      </c>
      <c r="BY219" s="203"/>
      <c r="BZ219" s="207">
        <v>46.228743693686717</v>
      </c>
      <c r="CA219" s="203"/>
      <c r="CB219" s="207">
        <v>47.599239246518749</v>
      </c>
      <c r="CC219" s="203"/>
      <c r="CD219" s="207">
        <v>52.472961232892231</v>
      </c>
      <c r="CE219" s="203"/>
      <c r="CF219" s="207">
        <v>46.806011665319133</v>
      </c>
      <c r="CG219" s="203"/>
      <c r="CH219" s="207">
        <v>35.754382364147006</v>
      </c>
      <c r="CI219" s="203"/>
      <c r="CJ219" s="221">
        <v>39.962372161260639</v>
      </c>
      <c r="CK219" s="217"/>
      <c r="CL219" s="221">
        <v>39.892010543297161</v>
      </c>
      <c r="CM219" s="217"/>
      <c r="CN219" s="221">
        <v>44.549729677852774</v>
      </c>
      <c r="CO219" s="217"/>
      <c r="CP219" s="221">
        <v>45.901371789184715</v>
      </c>
      <c r="CQ219" s="217"/>
      <c r="CR219" s="251">
        <v>40.392373763664757</v>
      </c>
      <c r="CS219" s="247"/>
      <c r="CT219" s="251">
        <v>45.356947049300807</v>
      </c>
      <c r="CU219" s="247"/>
      <c r="CV219" s="251">
        <v>42.524948261013009</v>
      </c>
      <c r="CW219" s="247"/>
      <c r="CX219" s="251">
        <v>40.745837860912758</v>
      </c>
      <c r="CY219" s="247"/>
      <c r="CZ219" s="236">
        <v>48.995751095682017</v>
      </c>
      <c r="DA219" s="232"/>
      <c r="DB219" s="236">
        <v>46.066064744638616</v>
      </c>
      <c r="DC219" s="232"/>
      <c r="DD219" s="236">
        <v>29.563663368977576</v>
      </c>
      <c r="DE219" s="232"/>
      <c r="DF219" s="236">
        <v>39.656629294966635</v>
      </c>
      <c r="DG219" s="232"/>
      <c r="DH219" s="236">
        <v>35.603272410344978</v>
      </c>
      <c r="DI219" s="232"/>
      <c r="DJ219" s="236">
        <v>18.510489702553077</v>
      </c>
      <c r="DK219" s="232"/>
      <c r="DL219" s="267">
        <v>32.611390175484374</v>
      </c>
      <c r="DM219" s="263"/>
      <c r="DN219" s="267">
        <v>25.852851439760773</v>
      </c>
      <c r="DO219" s="263"/>
      <c r="DP219" s="267">
        <v>44.616932628298947</v>
      </c>
      <c r="DQ219" s="263"/>
      <c r="DR219" s="267">
        <v>47.931829830855975</v>
      </c>
      <c r="DS219" s="263"/>
      <c r="DT219" s="267">
        <v>43.524318984200896</v>
      </c>
      <c r="DU219" s="263"/>
      <c r="DV219" s="267">
        <v>50.396566340709313</v>
      </c>
      <c r="DW219" s="263"/>
      <c r="DX219" s="193">
        <v>35.812459924594116</v>
      </c>
      <c r="DY219" s="189"/>
      <c r="DZ219" s="193">
        <v>32.650209144321671</v>
      </c>
      <c r="EA219" s="189"/>
      <c r="EB219" s="193">
        <v>41.022498036618984</v>
      </c>
      <c r="EC219" s="189"/>
      <c r="ED219" s="193">
        <v>48.297943031208163</v>
      </c>
      <c r="EE219" s="189"/>
      <c r="EF219" s="193">
        <v>47.442649356626177</v>
      </c>
      <c r="EG219" s="189"/>
      <c r="EH219" s="193">
        <v>44.430888342567791</v>
      </c>
      <c r="EI219" s="189"/>
    </row>
    <row r="220" spans="1:139" outlineLevel="1" x14ac:dyDescent="0.2">
      <c r="A220"/>
      <c r="B220" s="7"/>
      <c r="E220" s="187"/>
      <c r="G220" s="187"/>
      <c r="I220" s="201"/>
      <c r="K220" s="201"/>
      <c r="M220" s="201"/>
      <c r="O220" s="201"/>
      <c r="Q220" s="215"/>
      <c r="S220" s="215"/>
      <c r="U220" s="215"/>
      <c r="W220" s="215"/>
      <c r="Y220" s="245"/>
      <c r="AA220" s="245"/>
      <c r="AC220" s="245"/>
      <c r="AE220" s="245"/>
      <c r="AG220" s="245"/>
      <c r="AI220" s="245"/>
      <c r="AK220" s="230"/>
      <c r="AM220" s="230"/>
      <c r="AO220" s="230"/>
      <c r="AQ220" s="230"/>
      <c r="AS220" s="230"/>
      <c r="AU220" s="230"/>
      <c r="AW220" s="261"/>
      <c r="AY220" s="261"/>
      <c r="BA220" s="261"/>
      <c r="BC220" s="261"/>
      <c r="BE220" s="261"/>
      <c r="BG220" s="261"/>
      <c r="BI220" s="261"/>
      <c r="BK220" s="261"/>
      <c r="BM220" s="187"/>
      <c r="BO220" s="187"/>
      <c r="BQ220" s="187"/>
      <c r="BS220" s="187"/>
      <c r="BU220" s="201"/>
      <c r="BW220" s="201"/>
      <c r="BY220" s="201"/>
      <c r="CA220" s="201"/>
      <c r="CC220" s="201"/>
      <c r="CE220" s="201"/>
      <c r="CG220" s="201"/>
      <c r="CI220" s="201"/>
      <c r="CK220" s="215"/>
      <c r="CM220" s="215"/>
      <c r="CO220" s="215"/>
      <c r="CQ220" s="215"/>
      <c r="CS220" s="245"/>
      <c r="CU220" s="245"/>
      <c r="CW220" s="245"/>
      <c r="CY220" s="245"/>
      <c r="DA220" s="230"/>
      <c r="DC220" s="230"/>
      <c r="DE220" s="230"/>
      <c r="DG220" s="230"/>
      <c r="DI220" s="230"/>
      <c r="DK220" s="230"/>
      <c r="DM220" s="261"/>
      <c r="DO220" s="261"/>
      <c r="DQ220" s="261"/>
      <c r="DS220" s="261"/>
      <c r="DU220" s="261"/>
      <c r="DW220" s="261"/>
      <c r="DY220" s="187"/>
      <c r="EA220" s="187"/>
      <c r="EC220" s="187"/>
      <c r="EE220" s="187"/>
      <c r="EG220" s="187"/>
      <c r="EI220" s="187"/>
    </row>
    <row r="221" spans="1:139" outlineLevel="1" x14ac:dyDescent="0.2">
      <c r="A221"/>
      <c r="B221" s="7" t="s">
        <v>96</v>
      </c>
      <c r="C221" s="10">
        <v>19.152620913152258</v>
      </c>
      <c r="D221" s="192">
        <v>17.918930476860986</v>
      </c>
      <c r="E221" s="189"/>
      <c r="F221" s="192">
        <v>20.397113102180267</v>
      </c>
      <c r="G221" s="189"/>
      <c r="H221" s="206">
        <v>0</v>
      </c>
      <c r="I221" s="203"/>
      <c r="J221" s="206">
        <v>0</v>
      </c>
      <c r="K221" s="203"/>
      <c r="L221" s="206">
        <v>17.918930476860986</v>
      </c>
      <c r="M221" s="203"/>
      <c r="N221" s="206">
        <v>20.397113102180267</v>
      </c>
      <c r="O221" s="203"/>
      <c r="P221" s="220">
        <v>7.1762289575215465</v>
      </c>
      <c r="Q221" s="217"/>
      <c r="R221" s="220">
        <v>5.4654143103643715</v>
      </c>
      <c r="S221" s="217"/>
      <c r="T221" s="220">
        <v>19.692829064851633</v>
      </c>
      <c r="U221" s="217"/>
      <c r="V221" s="220">
        <v>23.549208109080006</v>
      </c>
      <c r="W221" s="217"/>
      <c r="X221" s="250">
        <v>15.643372710155431</v>
      </c>
      <c r="Y221" s="247"/>
      <c r="Z221" s="250">
        <v>14.008592631167817</v>
      </c>
      <c r="AA221" s="247"/>
      <c r="AB221" s="250">
        <v>25.645429079520955</v>
      </c>
      <c r="AC221" s="247"/>
      <c r="AD221" s="250">
        <v>18.318229886104323</v>
      </c>
      <c r="AE221" s="247"/>
      <c r="AF221" s="250">
        <v>22.735865736396153</v>
      </c>
      <c r="AG221" s="247"/>
      <c r="AH221" s="250">
        <v>23.128784858666972</v>
      </c>
      <c r="AI221" s="247"/>
      <c r="AJ221" s="235">
        <v>17.363205464265249</v>
      </c>
      <c r="AK221" s="232"/>
      <c r="AL221" s="235">
        <v>16.156941027871873</v>
      </c>
      <c r="AM221" s="232"/>
      <c r="AN221" s="235">
        <v>26.15850895674162</v>
      </c>
      <c r="AO221" s="232"/>
      <c r="AP221" s="235">
        <v>25.44602224549077</v>
      </c>
      <c r="AQ221" s="232"/>
      <c r="AR221" s="235">
        <v>24.802017368637287</v>
      </c>
      <c r="AS221" s="232"/>
      <c r="AT221" s="235">
        <v>25.17826826881646</v>
      </c>
      <c r="AU221" s="232"/>
      <c r="AV221" s="266">
        <v>13.346117989170075</v>
      </c>
      <c r="AW221" s="263"/>
      <c r="AX221" s="266">
        <v>17.676814188495641</v>
      </c>
      <c r="AY221" s="263"/>
      <c r="AZ221" s="266">
        <v>21.788176343189132</v>
      </c>
      <c r="BA221" s="263"/>
      <c r="BB221" s="266">
        <v>19.594366316145106</v>
      </c>
      <c r="BC221" s="263"/>
      <c r="BD221" s="266">
        <v>13.381153649896026</v>
      </c>
      <c r="BE221" s="263"/>
      <c r="BF221" s="266">
        <v>22.245870861127692</v>
      </c>
      <c r="BG221" s="263"/>
      <c r="BH221" s="266">
        <v>16.119932604921882</v>
      </c>
      <c r="BI221" s="263"/>
      <c r="BJ221" s="266">
        <v>30.232565433531452</v>
      </c>
      <c r="BK221" s="263"/>
      <c r="BL221" s="192">
        <v>18.676908260250844</v>
      </c>
      <c r="BM221" s="189"/>
      <c r="BN221" s="192">
        <v>23.556914272421238</v>
      </c>
      <c r="BO221" s="189"/>
      <c r="BP221" s="192">
        <v>17.349956114220184</v>
      </c>
      <c r="BQ221" s="189"/>
      <c r="BR221" s="192">
        <v>18.217980348671741</v>
      </c>
      <c r="BS221" s="189"/>
      <c r="BT221" s="206">
        <v>20.627810476240082</v>
      </c>
      <c r="BU221" s="203"/>
      <c r="BV221" s="206">
        <v>26.809995787808717</v>
      </c>
      <c r="BW221" s="203"/>
      <c r="BX221" s="206">
        <v>20.96075174410327</v>
      </c>
      <c r="BY221" s="203"/>
      <c r="BZ221" s="206">
        <v>19.976105356089331</v>
      </c>
      <c r="CA221" s="203"/>
      <c r="CB221" s="206">
        <v>11.856345182638535</v>
      </c>
      <c r="CC221" s="203"/>
      <c r="CD221" s="206">
        <v>16.414640595293555</v>
      </c>
      <c r="CE221" s="203"/>
      <c r="CF221" s="206">
        <v>16.590639130391384</v>
      </c>
      <c r="CG221" s="203"/>
      <c r="CH221" s="206">
        <v>20.433653820067402</v>
      </c>
      <c r="CI221" s="203"/>
      <c r="CJ221" s="220">
        <v>19.087003165107795</v>
      </c>
      <c r="CK221" s="217"/>
      <c r="CL221" s="220">
        <v>21.633946595907858</v>
      </c>
      <c r="CM221" s="217"/>
      <c r="CN221" s="220">
        <v>14.843725007197927</v>
      </c>
      <c r="CO221" s="217"/>
      <c r="CP221" s="220">
        <v>16.855012177872261</v>
      </c>
      <c r="CQ221" s="217"/>
      <c r="CR221" s="250">
        <v>20.042665686784865</v>
      </c>
      <c r="CS221" s="247"/>
      <c r="CT221" s="250">
        <v>20.860200977539407</v>
      </c>
      <c r="CU221" s="247"/>
      <c r="CV221" s="250">
        <v>16.022446650641506</v>
      </c>
      <c r="CW221" s="247"/>
      <c r="CX221" s="250">
        <v>19.765746274448926</v>
      </c>
      <c r="CY221" s="247"/>
      <c r="CZ221" s="235">
        <v>17.031356087308193</v>
      </c>
      <c r="DA221" s="232"/>
      <c r="DB221" s="235">
        <v>18.626001225151033</v>
      </c>
      <c r="DC221" s="232"/>
      <c r="DD221" s="235">
        <v>19.348969630094466</v>
      </c>
      <c r="DE221" s="232"/>
      <c r="DF221" s="235">
        <v>26.659306718812221</v>
      </c>
      <c r="DG221" s="232"/>
      <c r="DH221" s="235">
        <v>21.920719326770747</v>
      </c>
      <c r="DI221" s="232"/>
      <c r="DJ221" s="235">
        <v>25.231001024055494</v>
      </c>
      <c r="DK221" s="232"/>
      <c r="DL221" s="266">
        <v>15.643372710155431</v>
      </c>
      <c r="DM221" s="263"/>
      <c r="DN221" s="266">
        <v>18.318229886104323</v>
      </c>
      <c r="DO221" s="263"/>
      <c r="DP221" s="266">
        <v>25.645429079520955</v>
      </c>
      <c r="DQ221" s="263"/>
      <c r="DR221" s="266">
        <v>23.128784858666972</v>
      </c>
      <c r="DS221" s="263"/>
      <c r="DT221" s="266">
        <v>14.008592631167817</v>
      </c>
      <c r="DU221" s="263"/>
      <c r="DV221" s="266">
        <v>22.735865736396153</v>
      </c>
      <c r="DW221" s="263"/>
      <c r="DX221" s="192">
        <v>14.448075098104594</v>
      </c>
      <c r="DY221" s="189"/>
      <c r="DZ221" s="192">
        <v>18.029062598225295</v>
      </c>
      <c r="EA221" s="189"/>
      <c r="EB221" s="192">
        <v>20.158425599408677</v>
      </c>
      <c r="EC221" s="189"/>
      <c r="ED221" s="192">
        <v>19.627554763134437</v>
      </c>
      <c r="EE221" s="189"/>
      <c r="EF221" s="192">
        <v>17.684522285192568</v>
      </c>
      <c r="EG221" s="189"/>
      <c r="EH221" s="192">
        <v>23.716196382049681</v>
      </c>
      <c r="EI221" s="189"/>
    </row>
    <row r="222" spans="1:139" outlineLevel="1" x14ac:dyDescent="0.2">
      <c r="A222"/>
      <c r="B222" s="11" t="s">
        <v>97</v>
      </c>
      <c r="C222" s="12">
        <v>5.6716483565723852</v>
      </c>
      <c r="D222" s="193">
        <v>4.2876465333099745</v>
      </c>
      <c r="E222" s="189"/>
      <c r="F222" s="193">
        <v>7.0677680053786309</v>
      </c>
      <c r="G222" s="189"/>
      <c r="H222" s="207">
        <v>0</v>
      </c>
      <c r="I222" s="203"/>
      <c r="J222" s="207">
        <v>0</v>
      </c>
      <c r="K222" s="203"/>
      <c r="L222" s="207">
        <v>4.2876465333099745</v>
      </c>
      <c r="M222" s="203"/>
      <c r="N222" s="207">
        <v>7.0677680053786309</v>
      </c>
      <c r="O222" s="203"/>
      <c r="P222" s="221">
        <v>1.7749582509549495</v>
      </c>
      <c r="Q222" s="217"/>
      <c r="R222" s="221">
        <v>5.4654143103643715</v>
      </c>
      <c r="S222" s="217"/>
      <c r="T222" s="221">
        <v>4.702556524815007</v>
      </c>
      <c r="U222" s="217"/>
      <c r="V222" s="221">
        <v>7.4060263075157016</v>
      </c>
      <c r="W222" s="217"/>
      <c r="X222" s="251">
        <v>6.0122411008948031</v>
      </c>
      <c r="Y222" s="247"/>
      <c r="Z222" s="251">
        <v>3.5970155540409108</v>
      </c>
      <c r="AA222" s="247"/>
      <c r="AB222" s="251">
        <v>5.1893009458162194</v>
      </c>
      <c r="AC222" s="247"/>
      <c r="AD222" s="251">
        <v>6.8326274938397162</v>
      </c>
      <c r="AE222" s="247"/>
      <c r="AF222" s="251">
        <v>6.2372779160489795</v>
      </c>
      <c r="AG222" s="247"/>
      <c r="AH222" s="251">
        <v>5.769121248362663</v>
      </c>
      <c r="AI222" s="247"/>
      <c r="AJ222" s="236">
        <v>6.8151817507069916</v>
      </c>
      <c r="AK222" s="232"/>
      <c r="AL222" s="236">
        <v>4.1486514536565551</v>
      </c>
      <c r="AM222" s="232"/>
      <c r="AN222" s="236">
        <v>5.508202951266723</v>
      </c>
      <c r="AO222" s="232"/>
      <c r="AP222" s="236">
        <v>7.787322030628391</v>
      </c>
      <c r="AQ222" s="232"/>
      <c r="AR222" s="236">
        <v>6.0539089737100706</v>
      </c>
      <c r="AS222" s="232"/>
      <c r="AT222" s="236">
        <v>6.2803335045149584</v>
      </c>
      <c r="AU222" s="232"/>
      <c r="AV222" s="267">
        <v>2.6734744153918237</v>
      </c>
      <c r="AW222" s="263"/>
      <c r="AX222" s="267">
        <v>8.7423327596693099</v>
      </c>
      <c r="AY222" s="263"/>
      <c r="AZ222" s="267">
        <v>5.3688853744495209</v>
      </c>
      <c r="BA222" s="263"/>
      <c r="BB222" s="267">
        <v>4.7109839473326103</v>
      </c>
      <c r="BC222" s="263"/>
      <c r="BD222" s="267">
        <v>4.7409417871166806</v>
      </c>
      <c r="BE222" s="263"/>
      <c r="BF222" s="267">
        <v>9.5086562670335084</v>
      </c>
      <c r="BG222" s="263"/>
      <c r="BH222" s="267">
        <v>0</v>
      </c>
      <c r="BI222" s="263"/>
      <c r="BJ222" s="267">
        <v>9.770884626844607</v>
      </c>
      <c r="BK222" s="263"/>
      <c r="BL222" s="193">
        <v>3.7298239358654777</v>
      </c>
      <c r="BM222" s="189"/>
      <c r="BN222" s="193">
        <v>9.5184660513893498</v>
      </c>
      <c r="BO222" s="189" t="s">
        <v>198</v>
      </c>
      <c r="BP222" s="193">
        <v>4.7063748440899928</v>
      </c>
      <c r="BQ222" s="189"/>
      <c r="BR222" s="193">
        <v>5.3776628078373472</v>
      </c>
      <c r="BS222" s="189"/>
      <c r="BT222" s="207">
        <v>7.2906574995225446</v>
      </c>
      <c r="BU222" s="203"/>
      <c r="BV222" s="207">
        <v>11.151131704046282</v>
      </c>
      <c r="BW222" s="203"/>
      <c r="BX222" s="207">
        <v>5.2444275702782654</v>
      </c>
      <c r="BY222" s="203"/>
      <c r="BZ222" s="207">
        <v>7.4947092442843646</v>
      </c>
      <c r="CA222" s="203"/>
      <c r="CB222" s="207">
        <v>2.2469879583654038</v>
      </c>
      <c r="CC222" s="203"/>
      <c r="CD222" s="207">
        <v>6.9595709051534191</v>
      </c>
      <c r="CE222" s="203"/>
      <c r="CF222" s="207">
        <v>2.0131492701689244</v>
      </c>
      <c r="CG222" s="203"/>
      <c r="CH222" s="207">
        <v>3.6522748424401343</v>
      </c>
      <c r="CI222" s="203"/>
      <c r="CJ222" s="221">
        <v>3.9869346055337878</v>
      </c>
      <c r="CK222" s="217"/>
      <c r="CL222" s="221">
        <v>7.216604811481262</v>
      </c>
      <c r="CM222" s="217"/>
      <c r="CN222" s="221">
        <v>5.4243577849579321</v>
      </c>
      <c r="CO222" s="217"/>
      <c r="CP222" s="221">
        <v>6.0906937620837134</v>
      </c>
      <c r="CQ222" s="217"/>
      <c r="CR222" s="251">
        <v>5.2555730777474965</v>
      </c>
      <c r="CS222" s="247"/>
      <c r="CT222" s="251">
        <v>8.7276045359280072</v>
      </c>
      <c r="CU222" s="247"/>
      <c r="CV222" s="251">
        <v>3.5815709703696403</v>
      </c>
      <c r="CW222" s="247"/>
      <c r="CX222" s="251">
        <v>5.9609302235330635</v>
      </c>
      <c r="CY222" s="247"/>
      <c r="CZ222" s="236">
        <v>4.3480913386508595</v>
      </c>
      <c r="DA222" s="232"/>
      <c r="DB222" s="236">
        <v>7.2308614541006477</v>
      </c>
      <c r="DC222" s="232"/>
      <c r="DD222" s="236">
        <v>6.6181208647273611</v>
      </c>
      <c r="DE222" s="232"/>
      <c r="DF222" s="236">
        <v>5.8409603760695941</v>
      </c>
      <c r="DG222" s="232"/>
      <c r="DH222" s="236">
        <v>2.5220415808624663</v>
      </c>
      <c r="DI222" s="232"/>
      <c r="DJ222" s="236">
        <v>7.2368550117903707</v>
      </c>
      <c r="DK222" s="232"/>
      <c r="DL222" s="267">
        <v>6.0122411008948031</v>
      </c>
      <c r="DM222" s="263"/>
      <c r="DN222" s="267">
        <v>6.8326274938397162</v>
      </c>
      <c r="DO222" s="263"/>
      <c r="DP222" s="267">
        <v>5.1893009458162194</v>
      </c>
      <c r="DQ222" s="263"/>
      <c r="DR222" s="267">
        <v>5.769121248362663</v>
      </c>
      <c r="DS222" s="263"/>
      <c r="DT222" s="267">
        <v>3.5970155540409108</v>
      </c>
      <c r="DU222" s="263"/>
      <c r="DV222" s="267">
        <v>6.2372779160489795</v>
      </c>
      <c r="DW222" s="263"/>
      <c r="DX222" s="193">
        <v>2.8690143373772088</v>
      </c>
      <c r="DY222" s="189"/>
      <c r="DZ222" s="193">
        <v>8.2897555550182549</v>
      </c>
      <c r="EA222" s="189"/>
      <c r="EB222" s="193">
        <v>5.9947951154160055</v>
      </c>
      <c r="EC222" s="189"/>
      <c r="ED222" s="193">
        <v>5.663259767558908</v>
      </c>
      <c r="EE222" s="189"/>
      <c r="EF222" s="193">
        <v>2.9991018375216654</v>
      </c>
      <c r="EG222" s="189"/>
      <c r="EH222" s="193">
        <v>7.8670238138920476</v>
      </c>
      <c r="EI222" s="189"/>
    </row>
    <row r="223" spans="1:139" outlineLevel="1" x14ac:dyDescent="0.2">
      <c r="A223"/>
      <c r="B223" s="11" t="s">
        <v>98</v>
      </c>
      <c r="C223" s="12">
        <v>13.480972556579871</v>
      </c>
      <c r="D223" s="193">
        <v>13.631283943551011</v>
      </c>
      <c r="E223" s="189"/>
      <c r="F223" s="193">
        <v>13.329345096801635</v>
      </c>
      <c r="G223" s="189"/>
      <c r="H223" s="207">
        <v>0</v>
      </c>
      <c r="I223" s="203"/>
      <c r="J223" s="207">
        <v>0</v>
      </c>
      <c r="K223" s="203"/>
      <c r="L223" s="207">
        <v>13.631283943551011</v>
      </c>
      <c r="M223" s="203"/>
      <c r="N223" s="207">
        <v>13.329345096801635</v>
      </c>
      <c r="O223" s="203"/>
      <c r="P223" s="221">
        <v>5.4012707065665975</v>
      </c>
      <c r="Q223" s="217"/>
      <c r="R223" s="221">
        <v>0</v>
      </c>
      <c r="S223" s="217"/>
      <c r="T223" s="221">
        <v>14.990272540036628</v>
      </c>
      <c r="U223" s="217"/>
      <c r="V223" s="221">
        <v>16.143181801564307</v>
      </c>
      <c r="W223" s="217"/>
      <c r="X223" s="251">
        <v>9.6311316092606276</v>
      </c>
      <c r="Y223" s="247"/>
      <c r="Z223" s="251">
        <v>10.411577077126907</v>
      </c>
      <c r="AA223" s="247"/>
      <c r="AB223" s="251">
        <v>20.456128133704738</v>
      </c>
      <c r="AC223" s="247"/>
      <c r="AD223" s="251">
        <v>11.485602392264607</v>
      </c>
      <c r="AE223" s="247"/>
      <c r="AF223" s="251">
        <v>16.498587820347176</v>
      </c>
      <c r="AG223" s="247"/>
      <c r="AH223" s="251">
        <v>17.35966361030431</v>
      </c>
      <c r="AI223" s="247"/>
      <c r="AJ223" s="236">
        <v>10.548023713558257</v>
      </c>
      <c r="AK223" s="232"/>
      <c r="AL223" s="236">
        <v>12.008289574215317</v>
      </c>
      <c r="AM223" s="232"/>
      <c r="AN223" s="236">
        <v>20.650306005474899</v>
      </c>
      <c r="AO223" s="232"/>
      <c r="AP223" s="236">
        <v>17.658700214862378</v>
      </c>
      <c r="AQ223" s="232"/>
      <c r="AR223" s="236">
        <v>18.748108394927215</v>
      </c>
      <c r="AS223" s="232"/>
      <c r="AT223" s="236">
        <v>18.897934764301503</v>
      </c>
      <c r="AU223" s="232"/>
      <c r="AV223" s="267">
        <v>10.672643573778252</v>
      </c>
      <c r="AW223" s="263"/>
      <c r="AX223" s="267">
        <v>8.9344814288263308</v>
      </c>
      <c r="AY223" s="263"/>
      <c r="AZ223" s="267">
        <v>16.419290968739613</v>
      </c>
      <c r="BA223" s="263"/>
      <c r="BB223" s="267">
        <v>14.883382368812496</v>
      </c>
      <c r="BC223" s="263"/>
      <c r="BD223" s="267">
        <v>8.6402118627793456</v>
      </c>
      <c r="BE223" s="263"/>
      <c r="BF223" s="267">
        <v>12.737214594094185</v>
      </c>
      <c r="BG223" s="263"/>
      <c r="BH223" s="267">
        <v>16.119932604921882</v>
      </c>
      <c r="BI223" s="263"/>
      <c r="BJ223" s="267">
        <v>20.461680806686847</v>
      </c>
      <c r="BK223" s="263"/>
      <c r="BL223" s="193">
        <v>14.947084324385367</v>
      </c>
      <c r="BM223" s="189"/>
      <c r="BN223" s="193">
        <v>14.038448221031889</v>
      </c>
      <c r="BO223" s="189"/>
      <c r="BP223" s="193">
        <v>12.643581270130191</v>
      </c>
      <c r="BQ223" s="189"/>
      <c r="BR223" s="193">
        <v>12.840317540834395</v>
      </c>
      <c r="BS223" s="189"/>
      <c r="BT223" s="207">
        <v>13.337152976717539</v>
      </c>
      <c r="BU223" s="203"/>
      <c r="BV223" s="207">
        <v>15.658864083762433</v>
      </c>
      <c r="BW223" s="203"/>
      <c r="BX223" s="207">
        <v>15.716324173825004</v>
      </c>
      <c r="BY223" s="203"/>
      <c r="BZ223" s="207">
        <v>12.481396111804967</v>
      </c>
      <c r="CA223" s="203"/>
      <c r="CB223" s="207">
        <v>9.6093572242731327</v>
      </c>
      <c r="CC223" s="203"/>
      <c r="CD223" s="207">
        <v>9.4550696901401352</v>
      </c>
      <c r="CE223" s="203"/>
      <c r="CF223" s="207">
        <v>14.57748986022246</v>
      </c>
      <c r="CG223" s="203"/>
      <c r="CH223" s="207">
        <v>16.781378977627266</v>
      </c>
      <c r="CI223" s="203"/>
      <c r="CJ223" s="221">
        <v>15.100068559574007</v>
      </c>
      <c r="CK223" s="217"/>
      <c r="CL223" s="221">
        <v>14.417341784426597</v>
      </c>
      <c r="CM223" s="217"/>
      <c r="CN223" s="221">
        <v>9.4193672222399947</v>
      </c>
      <c r="CO223" s="217"/>
      <c r="CP223" s="221">
        <v>10.76431841578855</v>
      </c>
      <c r="CQ223" s="217"/>
      <c r="CR223" s="251">
        <v>14.787092609037368</v>
      </c>
      <c r="CS223" s="247"/>
      <c r="CT223" s="251">
        <v>12.132596441611398</v>
      </c>
      <c r="CU223" s="247"/>
      <c r="CV223" s="251">
        <v>12.440875680271866</v>
      </c>
      <c r="CW223" s="247"/>
      <c r="CX223" s="251">
        <v>13.804816050915864</v>
      </c>
      <c r="CY223" s="247"/>
      <c r="CZ223" s="236">
        <v>12.683264748657335</v>
      </c>
      <c r="DA223" s="232"/>
      <c r="DB223" s="236">
        <v>11.395139771050385</v>
      </c>
      <c r="DC223" s="232"/>
      <c r="DD223" s="236">
        <v>12.730848765367105</v>
      </c>
      <c r="DE223" s="232"/>
      <c r="DF223" s="236">
        <v>20.818346342742629</v>
      </c>
      <c r="DG223" s="232"/>
      <c r="DH223" s="236">
        <v>19.39867774590828</v>
      </c>
      <c r="DI223" s="232"/>
      <c r="DJ223" s="236">
        <v>17.994146012265123</v>
      </c>
      <c r="DK223" s="232"/>
      <c r="DL223" s="267">
        <v>9.6311316092606276</v>
      </c>
      <c r="DM223" s="263"/>
      <c r="DN223" s="267">
        <v>11.485602392264607</v>
      </c>
      <c r="DO223" s="263"/>
      <c r="DP223" s="267">
        <v>20.456128133704738</v>
      </c>
      <c r="DQ223" s="263"/>
      <c r="DR223" s="267">
        <v>17.35966361030431</v>
      </c>
      <c r="DS223" s="263"/>
      <c r="DT223" s="267">
        <v>10.411577077126907</v>
      </c>
      <c r="DU223" s="263"/>
      <c r="DV223" s="267">
        <v>16.498587820347176</v>
      </c>
      <c r="DW223" s="263"/>
      <c r="DX223" s="193">
        <v>11.579060760727385</v>
      </c>
      <c r="DY223" s="189"/>
      <c r="DZ223" s="193">
        <v>9.7393070432070417</v>
      </c>
      <c r="EA223" s="189"/>
      <c r="EB223" s="193">
        <v>14.163630483992669</v>
      </c>
      <c r="EC223" s="189"/>
      <c r="ED223" s="193">
        <v>13.964294995575528</v>
      </c>
      <c r="EE223" s="189"/>
      <c r="EF223" s="193">
        <v>14.685420447670902</v>
      </c>
      <c r="EG223" s="189"/>
      <c r="EH223" s="193">
        <v>15.849172568157632</v>
      </c>
      <c r="EI223" s="189"/>
    </row>
    <row r="224" spans="1:139" x14ac:dyDescent="0.2">
      <c r="A224"/>
      <c r="B224"/>
      <c r="E224" s="187"/>
      <c r="G224" s="187"/>
      <c r="I224" s="201"/>
      <c r="K224" s="201"/>
      <c r="M224" s="201"/>
      <c r="O224" s="201"/>
      <c r="Q224" s="215"/>
      <c r="S224" s="215"/>
      <c r="U224" s="215"/>
      <c r="W224" s="215"/>
      <c r="Y224" s="245"/>
      <c r="AA224" s="245"/>
      <c r="AC224" s="245"/>
      <c r="AE224" s="245"/>
      <c r="AG224" s="245"/>
      <c r="AI224" s="245"/>
      <c r="AK224" s="230"/>
      <c r="AM224" s="230"/>
      <c r="AO224" s="230"/>
      <c r="AQ224" s="230"/>
      <c r="AS224" s="230"/>
      <c r="AU224" s="230"/>
      <c r="AW224" s="261"/>
      <c r="AY224" s="261"/>
      <c r="BA224" s="261"/>
      <c r="BC224" s="261"/>
      <c r="BE224" s="261"/>
      <c r="BG224" s="261"/>
      <c r="BI224" s="261"/>
      <c r="BK224" s="261"/>
      <c r="BM224" s="187"/>
      <c r="BO224" s="187"/>
      <c r="BQ224" s="187"/>
      <c r="BS224" s="187"/>
      <c r="BU224" s="201"/>
      <c r="BW224" s="201"/>
      <c r="BY224" s="201"/>
      <c r="CA224" s="201"/>
      <c r="CC224" s="201"/>
      <c r="CE224" s="201"/>
      <c r="CG224" s="201"/>
      <c r="CI224" s="201"/>
      <c r="CK224" s="215"/>
      <c r="CM224" s="215"/>
      <c r="CO224" s="215"/>
      <c r="CQ224" s="215"/>
      <c r="CS224" s="245"/>
      <c r="CU224" s="245"/>
      <c r="CW224" s="245"/>
      <c r="CY224" s="245"/>
      <c r="DA224" s="230"/>
      <c r="DC224" s="230"/>
      <c r="DE224" s="230"/>
      <c r="DG224" s="230"/>
      <c r="DI224" s="230"/>
      <c r="DK224" s="230"/>
      <c r="DM224" s="261"/>
      <c r="DO224" s="261"/>
      <c r="DQ224" s="261"/>
      <c r="DS224" s="261"/>
      <c r="DU224" s="261"/>
      <c r="DW224" s="261"/>
      <c r="DY224" s="187"/>
      <c r="EA224" s="187"/>
      <c r="EC224" s="187"/>
      <c r="EE224" s="187"/>
      <c r="EG224" s="187"/>
      <c r="EI224" s="187"/>
    </row>
    <row r="225" spans="1:139" x14ac:dyDescent="0.2">
      <c r="A225"/>
      <c r="B225"/>
      <c r="E225" s="187"/>
      <c r="G225" s="187"/>
      <c r="I225" s="201"/>
      <c r="K225" s="201"/>
      <c r="M225" s="201"/>
      <c r="O225" s="201"/>
      <c r="Q225" s="215"/>
      <c r="S225" s="215"/>
      <c r="U225" s="215"/>
      <c r="W225" s="215"/>
      <c r="Y225" s="245"/>
      <c r="AA225" s="245"/>
      <c r="AC225" s="245"/>
      <c r="AE225" s="245"/>
      <c r="AG225" s="245"/>
      <c r="AI225" s="245"/>
      <c r="AK225" s="230"/>
      <c r="AM225" s="230"/>
      <c r="AO225" s="230"/>
      <c r="AQ225" s="230"/>
      <c r="AS225" s="230"/>
      <c r="AU225" s="230"/>
      <c r="AW225" s="261"/>
      <c r="AY225" s="261"/>
      <c r="BA225" s="261"/>
      <c r="BC225" s="261"/>
      <c r="BE225" s="261"/>
      <c r="BG225" s="261"/>
      <c r="BI225" s="261"/>
      <c r="BK225" s="261"/>
      <c r="BM225" s="187"/>
      <c r="BO225" s="187"/>
      <c r="BQ225" s="187"/>
      <c r="BS225" s="187"/>
      <c r="BU225" s="201"/>
      <c r="BW225" s="201"/>
      <c r="BY225" s="201"/>
      <c r="CA225" s="201"/>
      <c r="CC225" s="201"/>
      <c r="CE225" s="201"/>
      <c r="CG225" s="201"/>
      <c r="CI225" s="201"/>
      <c r="CK225" s="215"/>
      <c r="CM225" s="215"/>
      <c r="CO225" s="215"/>
      <c r="CQ225" s="215"/>
      <c r="CS225" s="245"/>
      <c r="CU225" s="245"/>
      <c r="CW225" s="245"/>
      <c r="CY225" s="245"/>
      <c r="DA225" s="230"/>
      <c r="DC225" s="230"/>
      <c r="DE225" s="230"/>
      <c r="DG225" s="230"/>
      <c r="DI225" s="230"/>
      <c r="DK225" s="230"/>
      <c r="DM225" s="261"/>
      <c r="DO225" s="261"/>
      <c r="DQ225" s="261"/>
      <c r="DS225" s="261"/>
      <c r="DU225" s="261"/>
      <c r="DW225" s="261"/>
      <c r="DY225" s="187"/>
      <c r="EA225" s="187"/>
      <c r="EC225" s="187"/>
      <c r="EE225" s="187"/>
      <c r="EG225" s="187"/>
      <c r="EI225" s="187"/>
    </row>
  </sheetData>
  <mergeCells count="68">
    <mergeCell ref="A3:B3"/>
    <mergeCell ref="X1:AI2"/>
    <mergeCell ref="AJ1:AU2"/>
    <mergeCell ref="H1:N1"/>
    <mergeCell ref="P1:V1"/>
    <mergeCell ref="D3:F3"/>
    <mergeCell ref="P3:V3"/>
    <mergeCell ref="DX1:EH1"/>
    <mergeCell ref="D2:F2"/>
    <mergeCell ref="AV2:BJ2"/>
    <mergeCell ref="H2:N2"/>
    <mergeCell ref="P2:V2"/>
    <mergeCell ref="BL2:BR2"/>
    <mergeCell ref="CZ1:DJ1"/>
    <mergeCell ref="DL1:DV1"/>
    <mergeCell ref="BL1:BR1"/>
    <mergeCell ref="BT1:CH1"/>
    <mergeCell ref="CJ1:CP1"/>
    <mergeCell ref="CR1:CX1"/>
    <mergeCell ref="D1:F1"/>
    <mergeCell ref="AV1:BJ1"/>
    <mergeCell ref="DX2:EH2"/>
    <mergeCell ref="CR2:CX2"/>
    <mergeCell ref="BT2:CH2"/>
    <mergeCell ref="CJ2:CP2"/>
    <mergeCell ref="X3:AB3"/>
    <mergeCell ref="AD3:AH3"/>
    <mergeCell ref="AJ3:AN3"/>
    <mergeCell ref="AP3:AT3"/>
    <mergeCell ref="BL3:BR3"/>
    <mergeCell ref="BT3:CH3"/>
    <mergeCell ref="CJ3:CP3"/>
    <mergeCell ref="CZ2:DJ2"/>
    <mergeCell ref="DL2:DV2"/>
    <mergeCell ref="CZ3:DJ3"/>
    <mergeCell ref="DL3:DV3"/>
    <mergeCell ref="DX3:EH3"/>
    <mergeCell ref="CR3:CX3"/>
    <mergeCell ref="L4:N4"/>
    <mergeCell ref="P4:R4"/>
    <mergeCell ref="T4:V4"/>
    <mergeCell ref="BL4:BN4"/>
    <mergeCell ref="BT4:BV4"/>
    <mergeCell ref="BX4:BZ4"/>
    <mergeCell ref="CB4:CD4"/>
    <mergeCell ref="BP4:BR4"/>
    <mergeCell ref="CF4:CH4"/>
    <mergeCell ref="CJ4:CL4"/>
    <mergeCell ref="CN4:CP4"/>
    <mergeCell ref="CR4:CT4"/>
    <mergeCell ref="CV4:CX4"/>
    <mergeCell ref="AV3:BJ3"/>
    <mergeCell ref="H3:N3"/>
    <mergeCell ref="D4:F4"/>
    <mergeCell ref="AV4:AX4"/>
    <mergeCell ref="AZ4:BB4"/>
    <mergeCell ref="BD4:BF4"/>
    <mergeCell ref="BH4:BJ4"/>
    <mergeCell ref="H4:J4"/>
    <mergeCell ref="CZ4:DB4"/>
    <mergeCell ref="DD4:DF4"/>
    <mergeCell ref="DH4:DJ4"/>
    <mergeCell ref="DL4:DN4"/>
    <mergeCell ref="EF4:EH4"/>
    <mergeCell ref="DP4:DR4"/>
    <mergeCell ref="DT4:DV4"/>
    <mergeCell ref="DX4:DZ4"/>
    <mergeCell ref="EB4:ED4"/>
  </mergeCells>
  <pageMargins left="0.5" right="0.5" top="0.5" bottom="0.5" header="0.5" footer="0.5"/>
  <pageSetup orientation="landscape" r:id="rId1"/>
  <headerFooter alignWithMargins="0"/>
  <rowBreaks count="12" manualBreakCount="12">
    <brk id="31" max="169" man="1"/>
    <brk id="58" max="169" man="1"/>
    <brk id="71" max="169" man="1"/>
    <brk id="86" max="169" man="1"/>
    <brk id="107" max="169" man="1"/>
    <brk id="120" max="169" man="1"/>
    <brk id="135" max="169" man="1"/>
    <brk id="150" max="169" man="1"/>
    <brk id="165" max="169" man="1"/>
    <brk id="180" max="169" man="1"/>
    <brk id="195" max="169" man="1"/>
    <brk id="210" max="16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Total Banner</vt:lpstr>
      <vt:lpstr>Wave to Wave</vt:lpstr>
      <vt:lpstr>'Total Banner'!LQ.1</vt:lpstr>
      <vt:lpstr>'Wave to Wave'!LQ.1</vt:lpstr>
      <vt:lpstr>'Total Banner'!LQ.10a</vt:lpstr>
      <vt:lpstr>'Total Banner'!LQ.11</vt:lpstr>
      <vt:lpstr>'Wave to Wave'!LQ.11</vt:lpstr>
      <vt:lpstr>'Total Banner'!LQ.12</vt:lpstr>
      <vt:lpstr>'Wave to Wave'!LQ.12</vt:lpstr>
      <vt:lpstr>'Total Banner'!LQ.13</vt:lpstr>
      <vt:lpstr>'Wave to Wave'!LQ.13</vt:lpstr>
      <vt:lpstr>'Total Banner'!LQ.14</vt:lpstr>
      <vt:lpstr>'Wave to Wave'!LQ.14</vt:lpstr>
      <vt:lpstr>'Total Banner'!LQ.15</vt:lpstr>
      <vt:lpstr>'Wave to Wave'!LQ.15</vt:lpstr>
      <vt:lpstr>'Total Banner'!LQ.16</vt:lpstr>
      <vt:lpstr>'Wave to Wave'!LQ.16</vt:lpstr>
      <vt:lpstr>'Total Banner'!LQ.17</vt:lpstr>
      <vt:lpstr>'Wave to Wave'!LQ.17</vt:lpstr>
      <vt:lpstr>'Total Banner'!LQ.2</vt:lpstr>
      <vt:lpstr>'Wave to Wave'!LQ.2</vt:lpstr>
      <vt:lpstr>'Total Banner'!LQ.3</vt:lpstr>
      <vt:lpstr>'Wave to Wave'!LQ.3</vt:lpstr>
      <vt:lpstr>'Total Banner'!LQ.4</vt:lpstr>
      <vt:lpstr>'Wave to Wave'!LQ.4</vt:lpstr>
      <vt:lpstr>'Total Banner'!LQ.5</vt:lpstr>
      <vt:lpstr>'Wave to Wave'!LQ.5</vt:lpstr>
      <vt:lpstr>'Total Banner'!LQ.6</vt:lpstr>
      <vt:lpstr>'Wave to Wave'!LQ.6</vt:lpstr>
      <vt:lpstr>'Total Banner'!LQ.7a</vt:lpstr>
      <vt:lpstr>'Total Banner'!LQ.8</vt:lpstr>
      <vt:lpstr>'Wave to Wave'!LQ.8</vt:lpstr>
      <vt:lpstr>'Total Banner'!LQ.9</vt:lpstr>
      <vt:lpstr>'Wave to Wave'!LQ.9</vt:lpstr>
      <vt:lpstr>'Total Banner'!Print_Area</vt:lpstr>
      <vt:lpstr>'Wave to Wave'!Print_Area</vt:lpstr>
      <vt:lpstr>'Total Banner'!Print_Titles</vt:lpstr>
      <vt:lpstr>'Wave to Wave'!Print_Titles</vt:lpstr>
    </vt:vector>
  </TitlesOfParts>
  <Company>Russell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Kirk</dc:creator>
  <cp:lastModifiedBy>Microsoft Office User</cp:lastModifiedBy>
  <cp:lastPrinted>2021-06-30T14:11:51Z</cp:lastPrinted>
  <dcterms:created xsi:type="dcterms:W3CDTF">2004-12-07T20:37:16Z</dcterms:created>
  <dcterms:modified xsi:type="dcterms:W3CDTF">2021-06-30T14:41:02Z</dcterms:modified>
</cp:coreProperties>
</file>